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workbookProtection lockStructure="1"/>
  <bookViews>
    <workbookView xWindow="65521" yWindow="65521" windowWidth="12120" windowHeight="9120" tabRatio="529" firstSheet="1" activeTab="3"/>
  </bookViews>
  <sheets>
    <sheet name="Pool Designation" sheetId="1" r:id="rId1"/>
    <sheet name="Pool 1 Rev-Exp" sheetId="2" r:id="rId2"/>
    <sheet name="Pool 1 Rate Adjmnt" sheetId="3" r:id="rId3"/>
    <sheet name="Pool 1 Bdgtd Rate Base" sheetId="4" r:id="rId4"/>
    <sheet name="Pool 1 Srv Dffrntn" sheetId="5" r:id="rId5"/>
  </sheets>
  <definedNames>
    <definedName name="_xlnm.Print_Area" localSheetId="1">'Pool 1 Rev-Exp'!$A$1:$H$123</definedName>
    <definedName name="_xlnm.Print_Area" localSheetId="0">'Pool Designation'!$A$1:$G$24</definedName>
    <definedName name="_xlnm.Print_Titles" localSheetId="3">'Pool 1 Bdgtd Rate Base'!$2:$14</definedName>
    <definedName name="_xlnm.Print_Titles" localSheetId="2">'Pool 1 Rate Adjmnt'!$2:$10</definedName>
    <definedName name="_xlnm.Print_Titles" localSheetId="1">'Pool 1 Rev-Exp'!$1:$10</definedName>
  </definedNames>
  <calcPr fullCalcOnLoad="1"/>
</workbook>
</file>

<file path=xl/comments3.xml><?xml version="1.0" encoding="utf-8"?>
<comments xmlns="http://schemas.openxmlformats.org/spreadsheetml/2006/main">
  <authors>
    <author>Michael Richardson</author>
  </authors>
  <commentList>
    <comment ref="E5" authorId="0">
      <text>
        <r>
          <rPr>
            <vertAlign val="superscript"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>The Revenue was a</t>
        </r>
        <r>
          <rPr>
            <b/>
            <sz val="10"/>
            <rFont val="Arial"/>
            <family val="2"/>
          </rPr>
          <t xml:space="preserve"> DIRECT SUBSIDY </t>
        </r>
        <r>
          <rPr>
            <sz val="10"/>
            <rFont val="Arial"/>
            <family val="2"/>
          </rPr>
          <t>if it was</t>
        </r>
        <r>
          <rPr>
            <b/>
            <sz val="10"/>
            <rFont val="Arial"/>
            <family val="2"/>
          </rPr>
          <t xml:space="preserve"> </t>
        </r>
        <r>
          <rPr>
            <b/>
            <u val="single"/>
            <sz val="10"/>
            <rFont val="Arial"/>
            <family val="2"/>
          </rPr>
          <t>NEITHER</t>
        </r>
        <r>
          <rPr>
            <b/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1) generated through charging the authorized $ per mile or $ per trip rate charged for the full service</t>
        </r>
        <r>
          <rPr>
            <b/>
            <sz val="10"/>
            <rFont val="Arial"/>
            <family val="2"/>
          </rPr>
          <t xml:space="preserve">
</t>
        </r>
        <r>
          <rPr>
            <b/>
            <u val="single"/>
            <sz val="10"/>
            <rFont val="Arial"/>
            <family val="2"/>
          </rPr>
          <t>NOR</t>
        </r>
        <r>
          <rPr>
            <b/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 xml:space="preserve">
2) received as a grant for the purchase of goods or performance of grant requirements (Indirect Subsidy)</t>
        </r>
      </text>
    </comment>
    <comment ref="E95" authorId="0">
      <text>
        <r>
          <rPr>
            <sz val="10"/>
            <rFont val="Tahoma"/>
            <family val="2"/>
          </rPr>
          <t>The budgeted rate subsidy revenue for the same fiscal year will be available for the first time 2 years after starting use of this rate calculation template.  Until that time, leave this cell blank or enter $0.  The worksheet will show $0 subsidy adjustment.  Once the budgeted rate subsidy revenue is available for this year, enter it here.</t>
        </r>
      </text>
    </comment>
  </commentList>
</comments>
</file>

<file path=xl/comments4.xml><?xml version="1.0" encoding="utf-8"?>
<comments xmlns="http://schemas.openxmlformats.org/spreadsheetml/2006/main">
  <authors>
    <author>Michael Richardson</author>
  </authors>
  <commentList>
    <comment ref="G8" authorId="0">
      <text>
        <r>
          <rPr>
            <b/>
            <vertAlign val="superscript"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 xml:space="preserve">The Revenue will be a </t>
        </r>
        <r>
          <rPr>
            <b/>
            <sz val="10"/>
            <rFont val="Arial"/>
            <family val="2"/>
          </rPr>
          <t xml:space="preserve">DIRECT SUBSIDY </t>
        </r>
        <r>
          <rPr>
            <sz val="10"/>
            <rFont val="Arial"/>
            <family val="2"/>
          </rPr>
          <t xml:space="preserve">if it will be </t>
        </r>
        <r>
          <rPr>
            <b/>
            <u val="single"/>
            <sz val="10"/>
            <rFont val="Arial"/>
            <family val="2"/>
          </rPr>
          <t>NEITHER</t>
        </r>
        <r>
          <rPr>
            <b/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 xml:space="preserve">1) generated through charging the authorized $ per mile or $ per trip rate charged for the full service
</t>
        </r>
        <r>
          <rPr>
            <b/>
            <u val="single"/>
            <sz val="10"/>
            <rFont val="Arial"/>
            <family val="2"/>
          </rPr>
          <t>NOR</t>
        </r>
        <r>
          <rPr>
            <sz val="10"/>
            <rFont val="Arial"/>
            <family val="2"/>
          </rPr>
          <t xml:space="preserve">
2) received as a grant for the purchase of goods or performance of grant requirements (Indirect Subsidy)</t>
        </r>
      </text>
    </comment>
    <comment ref="H95" authorId="0">
      <text>
        <r>
          <rPr>
            <sz val="10"/>
            <rFont val="Arial"/>
            <family val="2"/>
          </rPr>
          <t>To be used to calculate a possible rate base adjustment 2 years from the proposed budget's fiscal year when actual rate subsidy revenue will be known.</t>
        </r>
      </text>
    </comment>
  </commentList>
</comments>
</file>

<file path=xl/sharedStrings.xml><?xml version="1.0" encoding="utf-8"?>
<sst xmlns="http://schemas.openxmlformats.org/spreadsheetml/2006/main" count="477" uniqueCount="221">
  <si>
    <t>Factor 3:  Grouping</t>
  </si>
  <si>
    <t>Wait Time &amp; Grouping</t>
  </si>
  <si>
    <t>Run &amp; Wait Time &amp; Grouping</t>
  </si>
  <si>
    <t>Combination Trip and Mile Rate</t>
  </si>
  <si>
    <t>Input Rate per Passenger Trip (less than rate above) =</t>
  </si>
  <si>
    <t>Rate per mile for balance =</t>
  </si>
  <si>
    <t xml:space="preserve">(To be used if costs are NOT accounted for by Service) </t>
  </si>
  <si>
    <r>
      <t xml:space="preserve">In the Differentiation Method Selection Section, choose </t>
    </r>
    <r>
      <rPr>
        <b/>
        <i/>
        <sz val="10"/>
        <rFont val="Arial"/>
        <family val="0"/>
      </rPr>
      <t>ONE</t>
    </r>
    <r>
      <rPr>
        <i/>
        <sz val="10"/>
        <rFont val="Arial"/>
        <family val="0"/>
      </rPr>
      <t xml:space="preserve"> Differentiation Method for use in calculating rates.</t>
    </r>
  </si>
  <si>
    <t>Differentiation Method 1:  Wait Time &amp; Grouping</t>
  </si>
  <si>
    <t>Differentiation Method 2:  Run &amp; Wait Time &amp; Grouping</t>
  </si>
  <si>
    <t>Factor 1:  Wait Time</t>
  </si>
  <si>
    <t>Factor 1:  Run Time</t>
  </si>
  <si>
    <t>Factor 2:  Wait Time</t>
  </si>
  <si>
    <t>Service Differentiation for Factor 1 (Ambulatory = 1.00)</t>
  </si>
  <si>
    <t>Service Differentiation for Factor 2 (Ambulatory = 1.00)</t>
  </si>
  <si>
    <t>Complete the green cells in the Computations Section of this worksheet for Service Differentiation Method #1 and #2.  Be sure the Factor % Weights equal 100% for each method!</t>
  </si>
  <si>
    <t>Service Differentiation for All Factors, with APPLIED factor weighting =</t>
  </si>
  <si>
    <t>Service Differentiation for Factor 2 (Inverse; Ambulatory = 1.00)</t>
  </si>
  <si>
    <t>Service Differentiation for Factor 3 (Inverse; Ambulatory = 1.00)</t>
  </si>
  <si>
    <t>per passenger</t>
  </si>
  <si>
    <t>per group</t>
  </si>
  <si>
    <t>Differentiation Method Selection:</t>
  </si>
  <si>
    <r>
      <t xml:space="preserve">Final Service Differentiation </t>
    </r>
    <r>
      <rPr>
        <sz val="12"/>
        <rFont val="Arial"/>
        <family val="2"/>
      </rPr>
      <t>(based on Differentiation Method selected above)</t>
    </r>
    <r>
      <rPr>
        <b/>
        <sz val="14"/>
        <rFont val="Arial"/>
        <family val="0"/>
      </rPr>
      <t>:</t>
    </r>
  </si>
  <si>
    <t xml:space="preserve">Relative Differentiation = </t>
  </si>
  <si>
    <t>Rate Calculations:</t>
  </si>
  <si>
    <r>
      <t xml:space="preserve">Capital Expenditures </t>
    </r>
    <r>
      <rPr>
        <b/>
        <i/>
        <sz val="9"/>
        <rFont val="Arial"/>
        <family val="0"/>
      </rPr>
      <t>NOT</t>
    </r>
    <r>
      <rPr>
        <i/>
        <sz val="9"/>
        <rFont val="Arial"/>
        <family val="2"/>
      </rPr>
      <t xml:space="preserve"> included in any other expenditure category</t>
    </r>
  </si>
  <si>
    <t>Materials and Supplies</t>
  </si>
  <si>
    <t>Utilities</t>
  </si>
  <si>
    <t>Casualty and Liability</t>
  </si>
  <si>
    <t>Taxes</t>
  </si>
  <si>
    <t>Pool 3</t>
  </si>
  <si>
    <t>Pool 4</t>
  </si>
  <si>
    <t>City In-kind</t>
  </si>
  <si>
    <t>Other Cash</t>
  </si>
  <si>
    <t>Other In-Kind</t>
  </si>
  <si>
    <t>CTD</t>
  </si>
  <si>
    <t>Non-Spons. Trip Prog</t>
  </si>
  <si>
    <t>Non-Spons. Cap. Equ</t>
  </si>
  <si>
    <t>WAGES One-Time Gr</t>
  </si>
  <si>
    <r>
      <t>Actual</t>
    </r>
    <r>
      <rPr>
        <b/>
        <i/>
        <sz val="12"/>
        <rFont val="Arial"/>
        <family val="0"/>
      </rPr>
      <t xml:space="preserve">Rate Subsidy Revenue Over / </t>
    </r>
    <r>
      <rPr>
        <b/>
        <i/>
        <sz val="12"/>
        <color indexed="10"/>
        <rFont val="Arial"/>
        <family val="0"/>
      </rPr>
      <t xml:space="preserve">(Under) </t>
    </r>
    <r>
      <rPr>
        <b/>
        <i/>
        <u val="single"/>
        <sz val="12"/>
        <rFont val="Arial"/>
        <family val="0"/>
      </rPr>
      <t>Budgeted</t>
    </r>
    <r>
      <rPr>
        <b/>
        <i/>
        <sz val="12"/>
        <rFont val="Arial"/>
        <family val="0"/>
      </rPr>
      <t xml:space="preserve"> Rate Subsidy Revenue </t>
    </r>
    <r>
      <rPr>
        <i/>
        <sz val="12"/>
        <rFont val="Arial"/>
        <family val="0"/>
      </rPr>
      <t xml:space="preserve">= </t>
    </r>
  </si>
  <si>
    <r>
      <t xml:space="preserve">Complete Total Projected Revenue Miles and Passenger Trips for Pool 1 (green cells) at the bottom of this worksheet </t>
    </r>
    <r>
      <rPr>
        <b/>
        <i/>
        <sz val="10"/>
        <rFont val="Arial"/>
        <family val="0"/>
      </rPr>
      <t>(Do NOT include school bus or other non-paratransit trips/miles)</t>
    </r>
  </si>
  <si>
    <t>Rate Base Adjustment</t>
  </si>
  <si>
    <r>
      <t xml:space="preserve">Do </t>
    </r>
    <r>
      <rPr>
        <b/>
        <u val="single"/>
        <sz val="11"/>
        <color indexed="10"/>
        <rFont val="Arial"/>
        <family val="0"/>
      </rPr>
      <t>NOT</t>
    </r>
    <r>
      <rPr>
        <b/>
        <sz val="11"/>
        <color indexed="10"/>
        <rFont val="Arial"/>
        <family val="0"/>
      </rPr>
      <t xml:space="preserve"> include school bus or other non-paratransit miles or trips!</t>
    </r>
  </si>
  <si>
    <r>
      <t>Without</t>
    </r>
    <r>
      <rPr>
        <b/>
        <sz val="11"/>
        <rFont val="Arial"/>
        <family val="0"/>
      </rPr>
      <t xml:space="preserve"> Direct Subsidy</t>
    </r>
  </si>
  <si>
    <r>
      <t>1</t>
    </r>
    <r>
      <rPr>
        <sz val="10"/>
        <rFont val="Arial"/>
        <family val="0"/>
      </rPr>
      <t xml:space="preserve">The Difference between Actual and Budgeted </t>
    </r>
    <r>
      <rPr>
        <u val="single"/>
        <sz val="10"/>
        <rFont val="Arial"/>
        <family val="0"/>
      </rPr>
      <t>Direct</t>
    </r>
    <r>
      <rPr>
        <sz val="10"/>
        <rFont val="Arial"/>
        <family val="0"/>
      </rPr>
      <t xml:space="preserve"> Rate Subsidy Revenue 2 years before the proposed budget's fiscal year</t>
    </r>
  </si>
  <si>
    <t>Purchased Trans.</t>
  </si>
  <si>
    <t>Miscellaneous</t>
  </si>
  <si>
    <t>Interest</t>
  </si>
  <si>
    <t>Leases and Rentals</t>
  </si>
  <si>
    <t>Annual Depreciation</t>
  </si>
  <si>
    <t>Contributed Services</t>
  </si>
  <si>
    <t>Allocated Indirect</t>
  </si>
  <si>
    <t>School Bus Expen</t>
  </si>
  <si>
    <t>Pool 1</t>
  </si>
  <si>
    <t>(Type in Name)</t>
  </si>
  <si>
    <t>Pool 2</t>
  </si>
  <si>
    <t xml:space="preserve">Projected Passenger Trips = </t>
  </si>
  <si>
    <t xml:space="preserve">Projected Revenue Miles = </t>
  </si>
  <si>
    <t>Without DIRECT Subsidy</t>
  </si>
  <si>
    <r>
      <t xml:space="preserve">Budgeted </t>
    </r>
    <r>
      <rPr>
        <b/>
        <u val="single"/>
        <sz val="10"/>
        <rFont val="Arial"/>
        <family val="0"/>
      </rPr>
      <t>Direct</t>
    </r>
    <r>
      <rPr>
        <b/>
        <sz val="10"/>
        <rFont val="Arial"/>
        <family val="0"/>
      </rPr>
      <t xml:space="preserve"> Rate Subsidy Revenue for Future Rate Adjustment Purposes</t>
    </r>
  </si>
  <si>
    <t>Group</t>
  </si>
  <si>
    <t>Average Wait Time in Hours =</t>
  </si>
  <si>
    <t>Average # of minutes for pick-up per stop</t>
  </si>
  <si>
    <t>Average # of minutes for drop-off per stop</t>
  </si>
  <si>
    <t>Factor % Weight</t>
  </si>
  <si>
    <t>Total</t>
  </si>
  <si>
    <t>Once Completed, Proceed to the Worksheets for the next Pool specified on the Pool Designation Worksheet</t>
  </si>
  <si>
    <t>Pool Designation Worksheet</t>
  </si>
  <si>
    <t>Worksheet for Differentially Weighting Multiple Services in Pool 1</t>
  </si>
  <si>
    <t xml:space="preserve">Pool #1: </t>
  </si>
  <si>
    <t>(Select Only One Differentiation Method)</t>
  </si>
  <si>
    <t>1.</t>
  </si>
  <si>
    <t>2.</t>
  </si>
  <si>
    <t>3.</t>
  </si>
  <si>
    <t>4.</t>
  </si>
  <si>
    <t>Bus Pass Admin. Rev (for category)</t>
  </si>
  <si>
    <t>Year</t>
  </si>
  <si>
    <r>
      <t>minus</t>
    </r>
    <r>
      <rPr>
        <sz val="10"/>
        <rFont val="Arial"/>
        <family val="2"/>
      </rPr>
      <t xml:space="preserve"> Excluded Revenue =</t>
    </r>
  </si>
  <si>
    <r>
      <t xml:space="preserve">Revenue </t>
    </r>
    <r>
      <rPr>
        <b/>
        <sz val="10"/>
        <rFont val="Arial"/>
        <family val="2"/>
      </rPr>
      <t>EX</t>
    </r>
    <r>
      <rPr>
        <sz val="10"/>
        <rFont val="Arial"/>
        <family val="0"/>
      </rPr>
      <t>cluded from the Rate Base</t>
    </r>
  </si>
  <si>
    <t xml:space="preserve">Proposed Total Expenditures Included in Rate Base = </t>
  </si>
  <si>
    <t>Total Pool 1 Expenditures =</t>
  </si>
  <si>
    <r>
      <t xml:space="preserve">Upcoming Year's </t>
    </r>
    <r>
      <rPr>
        <b/>
        <sz val="10"/>
        <rFont val="Arial"/>
        <family val="0"/>
      </rPr>
      <t>PROPOSED</t>
    </r>
    <r>
      <rPr>
        <sz val="10"/>
        <rFont val="Arial"/>
        <family val="2"/>
      </rPr>
      <t xml:space="preserve"> Budget</t>
    </r>
  </si>
  <si>
    <t>Bus Pass Admin. Expense</t>
  </si>
  <si>
    <t>What Amount, if Any, of the Proposed Revenue in Col. 2 Will be Generated by Applying Authorized Rate per Mile/Trip Charges</t>
  </si>
  <si>
    <t xml:space="preserve">Total Pool 1 Revenues = </t>
  </si>
  <si>
    <r>
      <t xml:space="preserve">If </t>
    </r>
    <r>
      <rPr>
        <b/>
        <sz val="12"/>
        <rFont val="Arial"/>
        <family val="0"/>
      </rPr>
      <t>NO</t>
    </r>
    <r>
      <rPr>
        <sz val="12"/>
        <rFont val="Arial"/>
        <family val="0"/>
      </rPr>
      <t xml:space="preserve">, check Pool #1 ONLY and Proceed to Worksheet entitled </t>
    </r>
    <r>
      <rPr>
        <b/>
        <i/>
        <sz val="12"/>
        <rFont val="Arial"/>
        <family val="0"/>
      </rPr>
      <t>"Revenue / Expenditure Worksheet for Pool 1"</t>
    </r>
    <r>
      <rPr>
        <sz val="12"/>
        <rFont val="Arial"/>
        <family val="0"/>
      </rPr>
      <t>(Pool 1 Exp-Rev)</t>
    </r>
  </si>
  <si>
    <r>
      <t xml:space="preserve">Prior Year's </t>
    </r>
    <r>
      <rPr>
        <b/>
        <sz val="10"/>
        <rFont val="Arial"/>
        <family val="0"/>
      </rPr>
      <t>ACTUAL</t>
    </r>
  </si>
  <si>
    <t>Pool 1 Revenues (CTC/Operators ONLY)</t>
  </si>
  <si>
    <t>Pool 1 Expenditures (CTC/Operators ONLY)</t>
  </si>
  <si>
    <t xml:space="preserve">Total Pool 1 Expenditures = </t>
  </si>
  <si>
    <t xml:space="preserve">Total Pool 1 Revenues Available = </t>
  </si>
  <si>
    <r>
      <t xml:space="preserve">Total </t>
    </r>
    <r>
      <rPr>
        <u val="single"/>
        <sz val="10"/>
        <rFont val="Arial"/>
        <family val="2"/>
      </rPr>
      <t>Projected</t>
    </r>
    <r>
      <rPr>
        <sz val="10"/>
        <rFont val="Arial"/>
        <family val="2"/>
      </rPr>
      <t xml:space="preserve"> Passenger Trips = </t>
    </r>
  </si>
  <si>
    <r>
      <t xml:space="preserve">Total </t>
    </r>
    <r>
      <rPr>
        <u val="single"/>
        <sz val="10"/>
        <rFont val="Arial"/>
        <family val="2"/>
      </rPr>
      <t>Projected</t>
    </r>
    <r>
      <rPr>
        <sz val="10"/>
        <rFont val="Arial"/>
        <family val="2"/>
      </rPr>
      <t xml:space="preserve"> Revenue Miles = </t>
    </r>
  </si>
  <si>
    <t>SINGLE SERVICE RATES for POOL 1</t>
  </si>
  <si>
    <t>Computations:</t>
  </si>
  <si>
    <t xml:space="preserve"> Pool 1 Rate per Passenger Trip = </t>
  </si>
  <si>
    <t xml:space="preserve"> Pool 1 Rate per Revenue Mile = </t>
  </si>
  <si>
    <r>
      <t xml:space="preserve">If </t>
    </r>
    <r>
      <rPr>
        <b/>
        <sz val="12"/>
        <rFont val="Arial"/>
        <family val="0"/>
      </rPr>
      <t xml:space="preserve">YES, </t>
    </r>
    <r>
      <rPr>
        <sz val="12"/>
        <rFont val="Arial"/>
        <family val="0"/>
      </rPr>
      <t>check the applicable pools below, and type a name where not already provided</t>
    </r>
  </si>
  <si>
    <t>Check Applicable Cost Pools</t>
  </si>
  <si>
    <t>Name:</t>
  </si>
  <si>
    <t>TD Other (specify)</t>
  </si>
  <si>
    <t>USDOT &amp; FDOT</t>
  </si>
  <si>
    <t>49 USC 5307 (S. 9)</t>
  </si>
  <si>
    <t>49 USC 5310 (S.16)</t>
  </si>
  <si>
    <t>49 USC 5311 (S. 18)</t>
  </si>
  <si>
    <t>49 USC 5311(F) S.18i</t>
  </si>
  <si>
    <t>Block Grant</t>
  </si>
  <si>
    <t>Service Development</t>
  </si>
  <si>
    <t>Commuter Assistance</t>
  </si>
  <si>
    <t>Other DOT</t>
  </si>
  <si>
    <t>AHCA</t>
  </si>
  <si>
    <t>Medicaid</t>
  </si>
  <si>
    <t>DCF</t>
  </si>
  <si>
    <t>Alcoh, Drug &amp; Mental</t>
  </si>
  <si>
    <t>Family Safety&amp; Preser</t>
  </si>
  <si>
    <t>Comm, Care Dis Adult</t>
  </si>
  <si>
    <t>Developmental Serv.</t>
  </si>
  <si>
    <t>Other</t>
  </si>
  <si>
    <t>DOH</t>
  </si>
  <si>
    <t>Children Med Serv</t>
  </si>
  <si>
    <t>Office of Dis. Det.</t>
  </si>
  <si>
    <t>County Public Health</t>
  </si>
  <si>
    <t>Other (specify)</t>
  </si>
  <si>
    <t>DOE (state)</t>
  </si>
  <si>
    <t>Carl Perkins</t>
  </si>
  <si>
    <t>Div of Blind Serv</t>
  </si>
  <si>
    <t>Voc Rehab</t>
  </si>
  <si>
    <t>Day Care Programs</t>
  </si>
  <si>
    <t>OJT Program, Even Start</t>
  </si>
  <si>
    <t>DOEA</t>
  </si>
  <si>
    <t>Older Amer. Act</t>
  </si>
  <si>
    <t>Comm Care for Eld</t>
  </si>
  <si>
    <t>DCA</t>
  </si>
  <si>
    <t>Comm. Serv</t>
  </si>
  <si>
    <t>Drug Free Communities</t>
  </si>
  <si>
    <t>DLES</t>
  </si>
  <si>
    <t>WAGES/Wkf Brd</t>
  </si>
  <si>
    <t>DJJ</t>
  </si>
  <si>
    <t>Community Partnership</t>
  </si>
  <si>
    <t>Other Fed or State</t>
  </si>
  <si>
    <t>Local Non-Govt</t>
  </si>
  <si>
    <t>xxxx</t>
  </si>
  <si>
    <t>2-Year Ave. Annual % Change</t>
  </si>
  <si>
    <t>1-Year % Change</t>
  </si>
  <si>
    <t>Labor</t>
  </si>
  <si>
    <t>Fringe Benefits</t>
  </si>
  <si>
    <t>Services</t>
  </si>
  <si>
    <t>Adjusted Expenditures Included in Rate Base =</t>
  </si>
  <si>
    <r>
      <t>What Amount, if Any, of the Proposed Revenue in Col. 4 Will be Used to DIRECTLY</t>
    </r>
    <r>
      <rPr>
        <vertAlign val="superscript"/>
        <sz val="10"/>
        <rFont val="Arial"/>
        <family val="0"/>
      </rPr>
      <t>1</t>
    </r>
    <r>
      <rPr>
        <sz val="10"/>
        <rFont val="Arial"/>
        <family val="0"/>
      </rPr>
      <t xml:space="preserve"> Susidize Rate per Mile/Trip Charges</t>
    </r>
  </si>
  <si>
    <r>
      <t xml:space="preserve">What Amount, if Any, of the Actual Revenue in Col. 2 </t>
    </r>
    <r>
      <rPr>
        <b/>
        <sz val="10"/>
        <rFont val="Arial"/>
        <family val="0"/>
      </rPr>
      <t>DIRECTLY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Susidized Rate per Mile/Trip Charges</t>
    </r>
  </si>
  <si>
    <t>SUBSIDIZED RATES</t>
  </si>
  <si>
    <t>Complete applicable green cells in column 3</t>
  </si>
  <si>
    <t xml:space="preserve">Group </t>
  </si>
  <si>
    <t>Shirley Conroy Cap</t>
  </si>
  <si>
    <t>Aggregate Wght</t>
  </si>
  <si>
    <t>#1</t>
  </si>
  <si>
    <t>#2</t>
  </si>
  <si>
    <t>Wheel Chair</t>
  </si>
  <si>
    <t>(Ambulatory = 1.00)</t>
  </si>
  <si>
    <t>Ambul</t>
  </si>
  <si>
    <t>Ambulatory</t>
  </si>
  <si>
    <t>Stretcher</t>
  </si>
  <si>
    <t>Farebox</t>
  </si>
  <si>
    <t>Medicaid Co.Pay REC</t>
  </si>
  <si>
    <t>Donations/ Contribut.</t>
  </si>
  <si>
    <t>In-Kind Services</t>
  </si>
  <si>
    <t xml:space="preserve">Other </t>
  </si>
  <si>
    <t>Local Government</t>
  </si>
  <si>
    <t>District School B.</t>
  </si>
  <si>
    <t>Compl. ADA Serv.</t>
  </si>
  <si>
    <t>County Cash</t>
  </si>
  <si>
    <t>County In-Kind</t>
  </si>
  <si>
    <t>City Cash</t>
  </si>
  <si>
    <t>Pool 1 Exp. (CTC/Operators ONLY)</t>
  </si>
  <si>
    <t>Worksheet for Differentially Weighting Multiple Services in Pool __</t>
  </si>
  <si>
    <t>Average # of Run-time Hours per Passenger Trip =</t>
  </si>
  <si>
    <t>Complete applicable green cells in columns 3 and 5</t>
  </si>
  <si>
    <t xml:space="preserve">Rate Per Pass. Trip = </t>
  </si>
  <si>
    <t>Rate Per Rev. Mile =</t>
  </si>
  <si>
    <r>
      <t>Rate Base Adjustment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</si>
  <si>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 xml:space="preserve">Once Completed, Proceed to the Worksheet entitled </t>
    </r>
    <r>
      <rPr>
        <b/>
        <i/>
        <sz val="11"/>
        <rFont val="Arial"/>
        <family val="0"/>
      </rPr>
      <t>"Worksheet for Differentially Weighting Multiple Servies in Pool 1"</t>
    </r>
    <r>
      <rPr>
        <b/>
        <sz val="11"/>
        <rFont val="Arial"/>
        <family val="0"/>
      </rPr>
      <t xml:space="preserve"> (Pool 1 Srv Dffrntn)</t>
    </r>
  </si>
  <si>
    <r>
      <t xml:space="preserve">* Multiple cost pools would be needed to calculate </t>
    </r>
    <r>
      <rPr>
        <b/>
        <u val="single"/>
        <sz val="10"/>
        <rFont val="Arial"/>
        <family val="0"/>
      </rPr>
      <t>different</t>
    </r>
    <r>
      <rPr>
        <sz val="10"/>
        <rFont val="Arial"/>
        <family val="0"/>
      </rPr>
      <t xml:space="preserve"> rates to be charged to </t>
    </r>
    <r>
      <rPr>
        <b/>
        <u val="single"/>
        <sz val="10"/>
        <rFont val="Arial"/>
        <family val="0"/>
      </rPr>
      <t>different</t>
    </r>
    <r>
      <rPr>
        <sz val="10"/>
        <rFont val="Arial"/>
        <family val="0"/>
      </rPr>
      <t xml:space="preserve"> purchasing agencies,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would require tracking expenses, revenue and vehicle miles, and passenger and vehicle trips for a purchasing agency's pool</t>
    </r>
  </si>
  <si>
    <t>Factor 2:  Grouping</t>
  </si>
  <si>
    <r>
      <t xml:space="preserve">Upcoming Year's </t>
    </r>
    <r>
      <rPr>
        <b/>
        <sz val="10"/>
        <rFont val="Arial"/>
        <family val="2"/>
      </rPr>
      <t>PROPOSED</t>
    </r>
    <r>
      <rPr>
        <sz val="10"/>
        <rFont val="Arial"/>
        <family val="0"/>
      </rPr>
      <t xml:space="preserve"> Revenues for Pool 1</t>
    </r>
  </si>
  <si>
    <t>Bus Pass Admin. Rev for Category</t>
  </si>
  <si>
    <t>CTD (or Generic)</t>
  </si>
  <si>
    <t>Contracted Transportation Services</t>
  </si>
  <si>
    <t>Complete the green cells in the Rate Calculation Section at the bottom of this worksheet to calculate Rate per Revenue Mile and Rate Passeger Trip, differentiated by Service.</t>
  </si>
  <si>
    <t>Amount of Adjustment</t>
  </si>
  <si>
    <r>
      <t xml:space="preserve">Once Completed, Proceed to the Worksheet entitled </t>
    </r>
    <r>
      <rPr>
        <b/>
        <i/>
        <sz val="11"/>
        <rFont val="Arial"/>
        <family val="0"/>
      </rPr>
      <t>"Budgeted Rate Base Worksheet for Pool 1"</t>
    </r>
    <r>
      <rPr>
        <b/>
        <sz val="11"/>
        <rFont val="Arial"/>
        <family val="0"/>
      </rPr>
      <t xml:space="preserve"> (Pool 1 Bdgtd Rate Base)</t>
    </r>
  </si>
  <si>
    <t>Budgeted Rate Base Worksheet for Pool 1</t>
  </si>
  <si>
    <t>Projected total Group PASSENGER Revenue Miles =</t>
  </si>
  <si>
    <t>Comprehensive Budget Worksheet for Pool __</t>
  </si>
  <si>
    <t>Rate Base Adjustment Worksheet for Pool __</t>
  </si>
  <si>
    <r>
      <t xml:space="preserve">Once Completed, Proceed to the Worksheet entitled </t>
    </r>
    <r>
      <rPr>
        <b/>
        <i/>
        <sz val="11"/>
        <rFont val="Arial"/>
        <family val="0"/>
      </rPr>
      <t>"Rate Base Adjustment Worksheet for Pool 1"</t>
    </r>
    <r>
      <rPr>
        <b/>
        <sz val="11"/>
        <rFont val="Arial"/>
        <family val="0"/>
      </rPr>
      <t xml:space="preserve"> (Pool 1 Rate Adjmnt)</t>
    </r>
  </si>
  <si>
    <t>Rate Base Adjustment Worksheet for Pool 1</t>
  </si>
  <si>
    <r>
      <t xml:space="preserve">Under the Rate Base Adjustment section at the bottom of the page, insert the Same Fiscal Year's Total Approved </t>
    </r>
    <r>
      <rPr>
        <u val="single"/>
        <sz val="10"/>
        <rFont val="Arial"/>
        <family val="2"/>
      </rPr>
      <t>Budget for Rate Subsidy Revenue</t>
    </r>
  </si>
  <si>
    <r>
      <t>Actual</t>
    </r>
    <r>
      <rPr>
        <sz val="10"/>
        <rFont val="Arial"/>
        <family val="2"/>
      </rPr>
      <t xml:space="preserve"> Subsidy </t>
    </r>
    <r>
      <rPr>
        <u val="single"/>
        <sz val="10"/>
        <rFont val="Arial"/>
        <family val="2"/>
      </rPr>
      <t>Revenue</t>
    </r>
    <r>
      <rPr>
        <sz val="10"/>
        <rFont val="Arial"/>
        <family val="2"/>
      </rPr>
      <t xml:space="preserve"> =</t>
    </r>
  </si>
  <si>
    <r>
      <t>Same Fiscal Year's</t>
    </r>
    <r>
      <rPr>
        <sz val="10"/>
        <rFont val="Arial"/>
        <family val="0"/>
      </rPr>
      <t xml:space="preserve"> Total </t>
    </r>
    <r>
      <rPr>
        <b/>
        <sz val="10"/>
        <rFont val="Arial"/>
        <family val="2"/>
      </rPr>
      <t xml:space="preserve">Approved </t>
    </r>
    <r>
      <rPr>
        <b/>
        <u val="single"/>
        <sz val="10"/>
        <rFont val="Arial"/>
        <family val="0"/>
      </rPr>
      <t>Budget</t>
    </r>
    <r>
      <rPr>
        <sz val="10"/>
        <rFont val="Arial"/>
        <family val="0"/>
      </rPr>
      <t xml:space="preserve"> for Rate Subsidy Revenue = </t>
    </r>
  </si>
  <si>
    <t>Complete applicable green cells in columns 2, 3, 4, and 7</t>
  </si>
  <si>
    <r>
      <t xml:space="preserve">Total </t>
    </r>
    <r>
      <rPr>
        <b/>
        <sz val="10"/>
        <rFont val="Arial"/>
        <family val="2"/>
      </rPr>
      <t xml:space="preserve">Adj. </t>
    </r>
    <r>
      <rPr>
        <sz val="10"/>
        <rFont val="Arial"/>
        <family val="2"/>
      </rPr>
      <t xml:space="preserve">Expenditure Rate Base = </t>
    </r>
  </si>
  <si>
    <r>
      <t xml:space="preserve">Total </t>
    </r>
    <r>
      <rPr>
        <b/>
        <sz val="10"/>
        <rFont val="Arial"/>
        <family val="2"/>
      </rPr>
      <t>Adj.</t>
    </r>
    <r>
      <rPr>
        <sz val="10"/>
        <rFont val="Arial"/>
        <family val="2"/>
      </rPr>
      <t xml:space="preserve"> Expenditure Rate Base = </t>
    </r>
  </si>
  <si>
    <r>
      <t xml:space="preserve">Input Projected Revenue Miles and Passenger Trips </t>
    </r>
    <r>
      <rPr>
        <i/>
        <u val="single"/>
        <sz val="10"/>
        <rFont val="Arial"/>
        <family val="2"/>
      </rPr>
      <t>for each Service</t>
    </r>
    <r>
      <rPr>
        <i/>
        <sz val="10"/>
        <rFont val="Arial"/>
        <family val="0"/>
      </rPr>
      <t xml:space="preserve"> in the green cells (Miles and Trips must sum to total for all Services entered on the "Budgeted Rate Base Worksheet")</t>
    </r>
  </si>
  <si>
    <r>
      <t xml:space="preserve">NOTE:  Complete these 4 Worksheets for </t>
    </r>
    <r>
      <rPr>
        <b/>
        <u val="single"/>
        <sz val="12"/>
        <rFont val="Arial"/>
        <family val="0"/>
      </rPr>
      <t>each</t>
    </r>
    <r>
      <rPr>
        <sz val="12"/>
        <rFont val="Arial"/>
        <family val="0"/>
      </rPr>
      <t xml:space="preserve"> Cost Pool checked above!</t>
    </r>
  </si>
  <si>
    <t>Budgeted Rate Base Worksheet for Pool __</t>
  </si>
  <si>
    <r>
      <t xml:space="preserve">Indicate whether Total Projected Revenue Miles and Passenger Trips </t>
    </r>
    <r>
      <rPr>
        <b/>
        <i/>
        <sz val="10"/>
        <rFont val="Arial"/>
        <family val="2"/>
      </rPr>
      <t>IN</t>
    </r>
    <r>
      <rPr>
        <i/>
        <sz val="10"/>
        <rFont val="Arial"/>
        <family val="0"/>
      </rPr>
      <t xml:space="preserve">clude all or </t>
    </r>
    <r>
      <rPr>
        <b/>
        <i/>
        <sz val="10"/>
        <rFont val="Arial"/>
        <family val="2"/>
      </rPr>
      <t>EX</t>
    </r>
    <r>
      <rPr>
        <i/>
        <sz val="10"/>
        <rFont val="Arial"/>
        <family val="0"/>
      </rPr>
      <t xml:space="preserve">clude all or some miles or trips for Contracted Services  and specify the amount of expenditures for Contracted Services  that are </t>
    </r>
    <r>
      <rPr>
        <b/>
        <i/>
        <sz val="10"/>
        <rFont val="Arial"/>
        <family val="2"/>
      </rPr>
      <t>Ex</t>
    </r>
    <r>
      <rPr>
        <i/>
        <sz val="10"/>
        <rFont val="Arial"/>
        <family val="2"/>
      </rPr>
      <t>cluded</t>
    </r>
    <r>
      <rPr>
        <b/>
        <i/>
        <sz val="10"/>
        <rFont val="Arial"/>
        <family val="2"/>
      </rPr>
      <t>.</t>
    </r>
  </si>
  <si>
    <r>
      <t>IN</t>
    </r>
    <r>
      <rPr>
        <sz val="10"/>
        <rFont val="Arial"/>
        <family val="2"/>
      </rPr>
      <t xml:space="preserve">cludes </t>
    </r>
    <r>
      <rPr>
        <u val="single"/>
        <sz val="10"/>
        <rFont val="Arial"/>
        <family val="2"/>
      </rPr>
      <t>all</t>
    </r>
    <r>
      <rPr>
        <sz val="10"/>
        <rFont val="Arial"/>
        <family val="2"/>
      </rPr>
      <t xml:space="preserve"> contracted service miles?</t>
    </r>
  </si>
  <si>
    <r>
      <t>EX</t>
    </r>
    <r>
      <rPr>
        <sz val="10"/>
        <rFont val="Arial"/>
        <family val="2"/>
      </rPr>
      <t xml:space="preserve">cludes </t>
    </r>
    <r>
      <rPr>
        <u val="single"/>
        <sz val="10"/>
        <rFont val="Arial"/>
        <family val="2"/>
      </rPr>
      <t>some or all</t>
    </r>
    <r>
      <rPr>
        <sz val="10"/>
        <rFont val="Arial"/>
        <family val="2"/>
      </rPr>
      <t xml:space="preserve"> contracted service miles?....</t>
    </r>
  </si>
  <si>
    <r>
      <t>IN</t>
    </r>
    <r>
      <rPr>
        <sz val="10"/>
        <rFont val="Arial"/>
        <family val="2"/>
      </rPr>
      <t xml:space="preserve">cludes </t>
    </r>
    <r>
      <rPr>
        <u val="single"/>
        <sz val="10"/>
        <rFont val="Arial"/>
        <family val="2"/>
      </rPr>
      <t>all</t>
    </r>
    <r>
      <rPr>
        <sz val="10"/>
        <rFont val="Arial"/>
        <family val="2"/>
      </rPr>
      <t xml:space="preserve"> contracted service trips?</t>
    </r>
  </si>
  <si>
    <r>
      <t>EX</t>
    </r>
    <r>
      <rPr>
        <sz val="10"/>
        <rFont val="Arial"/>
        <family val="2"/>
      </rPr>
      <t xml:space="preserve">cludes </t>
    </r>
    <r>
      <rPr>
        <u val="single"/>
        <sz val="10"/>
        <rFont val="Arial"/>
        <family val="2"/>
      </rPr>
      <t>some or all</t>
    </r>
    <r>
      <rPr>
        <sz val="10"/>
        <rFont val="Arial"/>
        <family val="2"/>
      </rPr>
      <t xml:space="preserve"> contracted service trips?.....</t>
    </r>
  </si>
  <si>
    <t xml:space="preserve">Group wait-time per average # of group passenger revenue miles per vehile mile = </t>
  </si>
  <si>
    <t>Projected total Group ROUTE Miles =</t>
  </si>
  <si>
    <t>Average # of Group Passenger Rev. Miles per Route Mile =</t>
  </si>
  <si>
    <t>3-person group min.</t>
  </si>
  <si>
    <t>Will you be using Multiple Cost Pools?*</t>
  </si>
  <si>
    <t>Comprehensive Budget Worksheet for Pool #1</t>
  </si>
  <si>
    <t>*</t>
  </si>
  <si>
    <t>Local Non-govt</t>
  </si>
  <si>
    <t>Management fee</t>
  </si>
  <si>
    <t xml:space="preserve"> </t>
  </si>
  <si>
    <t>8.5% profit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</si>
</sst>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[Red]\(0.00\)"/>
    <numFmt numFmtId="166" formatCode="&quot;$&quot;#,##0"/>
    <numFmt numFmtId="167" formatCode="0_);[Red]\(0\)"/>
    <numFmt numFmtId="168" formatCode="0.0"/>
    <numFmt numFmtId="169" formatCode="#,##0.0_);[Red]\(#,##0.0\)"/>
    <numFmt numFmtId="170" formatCode="#,##0.0"/>
    <numFmt numFmtId="171" formatCode="&quot;$&quot;#,##0.0_);[Red]\(&quot;$&quot;#,##0.0\)"/>
    <numFmt numFmtId="172" formatCode="#,##0.0000_);[Red]\(#,##0.0000\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12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10"/>
      <name val="Geneva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0"/>
    </font>
    <font>
      <b/>
      <sz val="18"/>
      <name val="Arial"/>
      <family val="0"/>
    </font>
    <font>
      <b/>
      <u val="single"/>
      <sz val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b/>
      <sz val="10"/>
      <color indexed="9"/>
      <name val="Arial"/>
      <family val="0"/>
    </font>
    <font>
      <b/>
      <i/>
      <sz val="11"/>
      <name val="Arial"/>
      <family val="0"/>
    </font>
    <font>
      <b/>
      <sz val="8"/>
      <color indexed="10"/>
      <name val="Arial"/>
      <family val="2"/>
    </font>
    <font>
      <sz val="10"/>
      <color indexed="42"/>
      <name val="Arial"/>
      <family val="0"/>
    </font>
    <font>
      <vertAlign val="superscript"/>
      <sz val="10"/>
      <name val="Arial"/>
      <family val="2"/>
    </font>
    <font>
      <sz val="9"/>
      <name val="Verdana"/>
      <family val="0"/>
    </font>
    <font>
      <b/>
      <sz val="10"/>
      <color indexed="10"/>
      <name val="Verdana"/>
      <family val="2"/>
    </font>
    <font>
      <b/>
      <vertAlign val="superscript"/>
      <sz val="10"/>
      <name val="Arial"/>
      <family val="0"/>
    </font>
    <font>
      <b/>
      <i/>
      <u val="single"/>
      <sz val="12"/>
      <name val="Arial"/>
      <family val="0"/>
    </font>
    <font>
      <b/>
      <i/>
      <sz val="12"/>
      <color indexed="10"/>
      <name val="Arial"/>
      <family val="0"/>
    </font>
    <font>
      <i/>
      <sz val="12"/>
      <name val="Arial"/>
      <family val="0"/>
    </font>
    <font>
      <b/>
      <sz val="11"/>
      <name val="Verdana"/>
      <family val="0"/>
    </font>
    <font>
      <b/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b/>
      <sz val="12"/>
      <color indexed="9"/>
      <name val="Verdana"/>
      <family val="0"/>
    </font>
    <font>
      <b/>
      <sz val="10"/>
      <color indexed="14"/>
      <name val="Arial"/>
      <family val="0"/>
    </font>
    <font>
      <sz val="9"/>
      <color indexed="10"/>
      <name val="Arial"/>
      <family val="0"/>
    </font>
    <font>
      <b/>
      <i/>
      <sz val="9"/>
      <name val="Arial"/>
      <family val="0"/>
    </font>
    <font>
      <b/>
      <u val="single"/>
      <sz val="11"/>
      <name val="Arial"/>
      <family val="0"/>
    </font>
    <font>
      <b/>
      <i/>
      <sz val="18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10"/>
      <color indexed="9"/>
      <name val="Verdana"/>
      <family val="0"/>
    </font>
    <font>
      <sz val="10"/>
      <color indexed="42"/>
      <name val="Verdana"/>
      <family val="0"/>
    </font>
    <font>
      <sz val="11"/>
      <name val="Arial"/>
      <family val="0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>
        <color indexed="2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medium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medium"/>
      <right style="thin"/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 style="medium"/>
      <right style="thin"/>
      <top style="hair">
        <color indexed="23"/>
      </top>
      <bottom style="hair">
        <color indexed="55"/>
      </bottom>
    </border>
    <border>
      <left style="medium"/>
      <right style="thin"/>
      <top style="hair">
        <color indexed="23"/>
      </top>
      <bottom style="thin"/>
    </border>
    <border>
      <left style="thin"/>
      <right style="thin"/>
      <top style="hair">
        <color indexed="2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 style="thin"/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>
        <color indexed="55"/>
      </top>
      <bottom style="double"/>
    </border>
    <border>
      <left style="medium"/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>
        <color indexed="55"/>
      </top>
      <bottom style="double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 style="thin">
        <color indexed="63"/>
      </bottom>
    </border>
    <border>
      <left style="thin">
        <color indexed="23"/>
      </left>
      <right style="thin"/>
      <top>
        <color indexed="63"/>
      </top>
      <bottom style="hair">
        <color indexed="23"/>
      </bottom>
    </border>
    <border>
      <left style="thin">
        <color indexed="2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double"/>
    </border>
    <border>
      <left style="thin">
        <color indexed="23"/>
      </left>
      <right style="medium"/>
      <top>
        <color indexed="63"/>
      </top>
      <bottom style="thin"/>
    </border>
    <border>
      <left style="thin">
        <color indexed="23"/>
      </left>
      <right style="medium"/>
      <top style="thin"/>
      <bottom style="thin">
        <color indexed="63"/>
      </bottom>
    </border>
    <border>
      <left style="thin">
        <color indexed="23"/>
      </left>
      <right style="medium"/>
      <top>
        <color indexed="63"/>
      </top>
      <bottom style="hair">
        <color indexed="23"/>
      </bottom>
    </border>
    <border>
      <left style="thin">
        <color indexed="23"/>
      </left>
      <right style="medium"/>
      <top style="hair">
        <color indexed="23"/>
      </top>
      <bottom style="hair">
        <color indexed="23"/>
      </bottom>
    </border>
    <border>
      <left style="thin">
        <color indexed="23"/>
      </left>
      <right style="medium"/>
      <top style="hair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23"/>
      </top>
      <bottom style="double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>
        <color indexed="2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>
        <color indexed="23"/>
      </left>
      <right style="medium"/>
      <top style="hair">
        <color indexed="23"/>
      </top>
      <bottom style="thin"/>
    </border>
    <border>
      <left style="thin">
        <color indexed="23"/>
      </left>
      <right style="thin"/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23"/>
      </left>
      <right style="medium"/>
      <top>
        <color indexed="63"/>
      </top>
      <bottom style="medium"/>
    </border>
    <border>
      <left style="hair">
        <color indexed="23"/>
      </left>
      <right style="thin"/>
      <top style="medium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medium"/>
      <right style="hair">
        <color indexed="2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>
        <color indexed="23"/>
      </left>
      <right style="thin"/>
      <top style="medium"/>
      <bottom style="thin">
        <color indexed="22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medium"/>
      <top style="thin"/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/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NumberFormat="1" applyFont="1" applyBorder="1" applyAlignment="1">
      <alignment horizontal="left"/>
    </xf>
    <xf numFmtId="0" fontId="12" fillId="2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Continuous"/>
    </xf>
    <xf numFmtId="0" fontId="13" fillId="2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/>
    </xf>
    <xf numFmtId="6" fontId="7" fillId="0" borderId="13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6" fontId="7" fillId="0" borderId="0" xfId="0" applyNumberFormat="1" applyFont="1" applyAlignment="1">
      <alignment/>
    </xf>
    <xf numFmtId="6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8" fontId="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9" xfId="0" applyFont="1" applyBorder="1" applyAlignment="1">
      <alignment horizontal="right"/>
    </xf>
    <xf numFmtId="8" fontId="7" fillId="0" borderId="9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0" fontId="1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19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>
      <alignment/>
    </xf>
    <xf numFmtId="0" fontId="19" fillId="0" borderId="0" xfId="0" applyFont="1" applyAlignment="1">
      <alignment horizontal="center"/>
    </xf>
    <xf numFmtId="164" fontId="7" fillId="0" borderId="1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6" fontId="11" fillId="0" borderId="16" xfId="0" applyNumberFormat="1" applyFont="1" applyBorder="1" applyAlignment="1">
      <alignment/>
    </xf>
    <xf numFmtId="6" fontId="11" fillId="0" borderId="4" xfId="0" applyNumberFormat="1" applyFont="1" applyBorder="1" applyAlignment="1">
      <alignment/>
    </xf>
    <xf numFmtId="6" fontId="11" fillId="0" borderId="17" xfId="0" applyNumberFormat="1" applyFont="1" applyBorder="1" applyAlignment="1">
      <alignment/>
    </xf>
    <xf numFmtId="0" fontId="12" fillId="2" borderId="18" xfId="0" applyFont="1" applyFill="1" applyBorder="1" applyAlignment="1">
      <alignment/>
    </xf>
    <xf numFmtId="6" fontId="12" fillId="2" borderId="19" xfId="0" applyNumberFormat="1" applyFont="1" applyFill="1" applyBorder="1" applyAlignment="1">
      <alignment/>
    </xf>
    <xf numFmtId="0" fontId="11" fillId="0" borderId="2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2" fillId="2" borderId="22" xfId="0" applyFont="1" applyFill="1" applyBorder="1" applyAlignment="1">
      <alignment/>
    </xf>
    <xf numFmtId="0" fontId="12" fillId="2" borderId="19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6" fontId="11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4" borderId="3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6" fontId="7" fillId="4" borderId="13" xfId="0" applyNumberFormat="1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4" fillId="4" borderId="3" xfId="0" applyNumberFormat="1" applyFont="1" applyFill="1" applyBorder="1" applyAlignment="1">
      <alignment horizontal="centerContinuous"/>
    </xf>
    <xf numFmtId="0" fontId="8" fillId="4" borderId="24" xfId="0" applyFont="1" applyFill="1" applyBorder="1" applyAlignment="1">
      <alignment/>
    </xf>
    <xf numFmtId="0" fontId="4" fillId="4" borderId="24" xfId="0" applyNumberFormat="1" applyFont="1" applyFill="1" applyBorder="1" applyAlignment="1">
      <alignment horizontal="centerContinuous"/>
    </xf>
    <xf numFmtId="6" fontId="7" fillId="4" borderId="25" xfId="0" applyNumberFormat="1" applyFont="1" applyFill="1" applyBorder="1" applyAlignment="1">
      <alignment/>
    </xf>
    <xf numFmtId="0" fontId="7" fillId="4" borderId="26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164" fontId="7" fillId="4" borderId="27" xfId="0" applyNumberFormat="1" applyFont="1" applyFill="1" applyBorder="1" applyAlignment="1">
      <alignment/>
    </xf>
    <xf numFmtId="0" fontId="8" fillId="4" borderId="26" xfId="0" applyFont="1" applyFill="1" applyBorder="1" applyAlignment="1">
      <alignment wrapText="1"/>
    </xf>
    <xf numFmtId="164" fontId="7" fillId="4" borderId="15" xfId="0" applyNumberFormat="1" applyFont="1" applyFill="1" applyBorder="1" applyAlignment="1">
      <alignment/>
    </xf>
    <xf numFmtId="0" fontId="5" fillId="3" borderId="3" xfId="0" applyNumberFormat="1" applyFont="1" applyFill="1" applyBorder="1" applyAlignment="1" applyProtection="1">
      <alignment/>
      <protection locked="0"/>
    </xf>
    <xf numFmtId="6" fontId="7" fillId="3" borderId="4" xfId="0" applyNumberFormat="1" applyFont="1" applyFill="1" applyBorder="1" applyAlignment="1" applyProtection="1">
      <alignment/>
      <protection locked="0"/>
    </xf>
    <xf numFmtId="6" fontId="7" fillId="3" borderId="12" xfId="0" applyNumberFormat="1" applyFont="1" applyFill="1" applyBorder="1" applyAlignment="1" applyProtection="1">
      <alignment/>
      <protection locked="0"/>
    </xf>
    <xf numFmtId="6" fontId="7" fillId="3" borderId="13" xfId="0" applyNumberFormat="1" applyFont="1" applyFill="1" applyBorder="1" applyAlignment="1" applyProtection="1">
      <alignment/>
      <protection locked="0"/>
    </xf>
    <xf numFmtId="0" fontId="12" fillId="5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6" fontId="7" fillId="4" borderId="13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49" fontId="19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6" fontId="11" fillId="0" borderId="29" xfId="0" applyNumberFormat="1" applyFont="1" applyBorder="1" applyAlignment="1">
      <alignment/>
    </xf>
    <xf numFmtId="49" fontId="22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49" fontId="22" fillId="0" borderId="0" xfId="0" applyNumberFormat="1" applyFont="1" applyAlignment="1">
      <alignment horizontal="right" vertical="top"/>
    </xf>
    <xf numFmtId="0" fontId="7" fillId="0" borderId="0" xfId="0" applyFont="1" applyAlignment="1">
      <alignment wrapText="1"/>
    </xf>
    <xf numFmtId="0" fontId="0" fillId="0" borderId="28" xfId="0" applyBorder="1" applyAlignment="1">
      <alignment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8" fillId="0" borderId="30" xfId="0" applyNumberFormat="1" applyFont="1" applyBorder="1" applyAlignment="1">
      <alignment horizontal="left"/>
    </xf>
    <xf numFmtId="0" fontId="7" fillId="0" borderId="30" xfId="0" applyFont="1" applyBorder="1" applyAlignment="1">
      <alignment/>
    </xf>
    <xf numFmtId="6" fontId="7" fillId="3" borderId="31" xfId="0" applyNumberFormat="1" applyFont="1" applyFill="1" applyBorder="1" applyAlignment="1" applyProtection="1">
      <alignment/>
      <protection locked="0"/>
    </xf>
    <xf numFmtId="0" fontId="13" fillId="2" borderId="1" xfId="0" applyFont="1" applyFill="1" applyBorder="1" applyAlignment="1">
      <alignment/>
    </xf>
    <xf numFmtId="6" fontId="7" fillId="0" borderId="1" xfId="0" applyNumberFormat="1" applyFont="1" applyBorder="1" applyAlignment="1">
      <alignment/>
    </xf>
    <xf numFmtId="6" fontId="7" fillId="0" borderId="12" xfId="0" applyNumberFormat="1" applyFont="1" applyBorder="1" applyAlignment="1">
      <alignment/>
    </xf>
    <xf numFmtId="6" fontId="7" fillId="0" borderId="21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8" fillId="0" borderId="32" xfId="0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1" fillId="0" borderId="0" xfId="0" applyFont="1" applyAlignment="1">
      <alignment horizontal="center" wrapText="1"/>
    </xf>
    <xf numFmtId="40" fontId="3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33" fillId="0" borderId="3" xfId="0" applyNumberFormat="1" applyFont="1" applyBorder="1" applyAlignment="1">
      <alignment/>
    </xf>
    <xf numFmtId="0" fontId="5" fillId="3" borderId="0" xfId="0" applyNumberFormat="1" applyFont="1" applyFill="1" applyBorder="1" applyAlignment="1" applyProtection="1">
      <alignment/>
      <protection locked="0"/>
    </xf>
    <xf numFmtId="0" fontId="8" fillId="0" borderId="30" xfId="0" applyFont="1" applyBorder="1" applyAlignment="1">
      <alignment/>
    </xf>
    <xf numFmtId="0" fontId="33" fillId="0" borderId="32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36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7" fillId="0" borderId="37" xfId="0" applyFont="1" applyBorder="1" applyAlignment="1">
      <alignment/>
    </xf>
    <xf numFmtId="0" fontId="11" fillId="3" borderId="1" xfId="0" applyFont="1" applyFill="1" applyBorder="1" applyAlignment="1" applyProtection="1">
      <alignment horizontal="center" wrapText="1"/>
      <protection locked="0"/>
    </xf>
    <xf numFmtId="0" fontId="11" fillId="3" borderId="4" xfId="0" applyFont="1" applyFill="1" applyBorder="1" applyAlignment="1" applyProtection="1">
      <alignment horizontal="center" wrapText="1"/>
      <protection locked="0"/>
    </xf>
    <xf numFmtId="0" fontId="5" fillId="0" borderId="38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6" fontId="7" fillId="0" borderId="0" xfId="0" applyNumberFormat="1" applyFont="1" applyBorder="1" applyAlignment="1">
      <alignment horizontal="right"/>
    </xf>
    <xf numFmtId="8" fontId="15" fillId="0" borderId="11" xfId="0" applyNumberFormat="1" applyFont="1" applyBorder="1" applyAlignment="1">
      <alignment/>
    </xf>
    <xf numFmtId="8" fontId="15" fillId="0" borderId="7" xfId="0" applyNumberFormat="1" applyFont="1" applyBorder="1" applyAlignment="1">
      <alignment/>
    </xf>
    <xf numFmtId="8" fontId="15" fillId="0" borderId="21" xfId="0" applyNumberFormat="1" applyFont="1" applyBorder="1" applyAlignment="1">
      <alignment/>
    </xf>
    <xf numFmtId="0" fontId="15" fillId="0" borderId="2" xfId="0" applyFont="1" applyBorder="1" applyAlignment="1">
      <alignment horizontal="centerContinuous" wrapText="1"/>
    </xf>
    <xf numFmtId="6" fontId="11" fillId="0" borderId="39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wrapText="1"/>
    </xf>
    <xf numFmtId="6" fontId="1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Continuous"/>
    </xf>
    <xf numFmtId="6" fontId="11" fillId="0" borderId="10" xfId="0" applyNumberFormat="1" applyFont="1" applyBorder="1" applyAlignment="1">
      <alignment/>
    </xf>
    <xf numFmtId="6" fontId="22" fillId="3" borderId="40" xfId="0" applyNumberFormat="1" applyFont="1" applyFill="1" applyBorder="1" applyAlignment="1" applyProtection="1">
      <alignment/>
      <protection locked="0"/>
    </xf>
    <xf numFmtId="164" fontId="22" fillId="0" borderId="41" xfId="0" applyNumberFormat="1" applyFont="1" applyBorder="1" applyAlignment="1">
      <alignment/>
    </xf>
    <xf numFmtId="164" fontId="22" fillId="0" borderId="42" xfId="0" applyNumberFormat="1" applyFont="1" applyBorder="1" applyAlignment="1">
      <alignment/>
    </xf>
    <xf numFmtId="6" fontId="11" fillId="0" borderId="43" xfId="0" applyNumberFormat="1" applyFont="1" applyBorder="1" applyAlignment="1">
      <alignment/>
    </xf>
    <xf numFmtId="6" fontId="11" fillId="0" borderId="0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6" fontId="22" fillId="3" borderId="44" xfId="0" applyNumberFormat="1" applyFont="1" applyFill="1" applyBorder="1" applyAlignment="1" applyProtection="1">
      <alignment horizontal="right"/>
      <protection locked="0"/>
    </xf>
    <xf numFmtId="6" fontId="7" fillId="0" borderId="39" xfId="0" applyNumberFormat="1" applyFont="1" applyBorder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6" fontId="7" fillId="4" borderId="12" xfId="0" applyNumberFormat="1" applyFont="1" applyFill="1" applyBorder="1" applyAlignment="1">
      <alignment/>
    </xf>
    <xf numFmtId="6" fontId="7" fillId="3" borderId="1" xfId="0" applyNumberFormat="1" applyFont="1" applyFill="1" applyBorder="1" applyAlignment="1" applyProtection="1">
      <alignment/>
      <protection locked="0"/>
    </xf>
    <xf numFmtId="49" fontId="7" fillId="0" borderId="39" xfId="0" applyNumberFormat="1" applyFont="1" applyBorder="1" applyAlignment="1">
      <alignment wrapText="1"/>
    </xf>
    <xf numFmtId="0" fontId="27" fillId="0" borderId="0" xfId="0" applyFont="1" applyFill="1" applyBorder="1" applyAlignment="1">
      <alignment/>
    </xf>
    <xf numFmtId="0" fontId="37" fillId="0" borderId="0" xfId="0" applyFont="1" applyAlignment="1">
      <alignment/>
    </xf>
    <xf numFmtId="6" fontId="11" fillId="6" borderId="1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1" fillId="0" borderId="1" xfId="0" applyFont="1" applyBorder="1" applyAlignment="1">
      <alignment horizontal="center"/>
    </xf>
    <xf numFmtId="6" fontId="7" fillId="0" borderId="1" xfId="0" applyNumberFormat="1" applyFont="1" applyFill="1" applyBorder="1" applyAlignment="1">
      <alignment/>
    </xf>
    <xf numFmtId="6" fontId="7" fillId="0" borderId="1" xfId="0" applyNumberFormat="1" applyFont="1" applyFill="1" applyBorder="1" applyAlignment="1" applyProtection="1">
      <alignment/>
      <protection locked="0"/>
    </xf>
    <xf numFmtId="6" fontId="11" fillId="0" borderId="1" xfId="0" applyNumberFormat="1" applyFont="1" applyFill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11" fillId="0" borderId="4" xfId="0" applyFont="1" applyFill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center"/>
      <protection/>
    </xf>
    <xf numFmtId="0" fontId="12" fillId="2" borderId="19" xfId="0" applyFont="1" applyFill="1" applyBorder="1" applyAlignment="1" applyProtection="1">
      <alignment/>
      <protection/>
    </xf>
    <xf numFmtId="0" fontId="7" fillId="4" borderId="25" xfId="0" applyFont="1" applyFill="1" applyBorder="1" applyAlignment="1" applyProtection="1">
      <alignment/>
      <protection/>
    </xf>
    <xf numFmtId="6" fontId="7" fillId="0" borderId="13" xfId="0" applyNumberFormat="1" applyFont="1" applyFill="1" applyBorder="1" applyAlignment="1" applyProtection="1">
      <alignment/>
      <protection/>
    </xf>
    <xf numFmtId="6" fontId="7" fillId="0" borderId="4" xfId="0" applyNumberFormat="1" applyFont="1" applyFill="1" applyBorder="1" applyAlignment="1" applyProtection="1">
      <alignment/>
      <protection/>
    </xf>
    <xf numFmtId="6" fontId="1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11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11" fillId="0" borderId="45" xfId="0" applyFont="1" applyFill="1" applyBorder="1" applyAlignment="1">
      <alignment horizontal="centerContinuous"/>
    </xf>
    <xf numFmtId="6" fontId="0" fillId="2" borderId="46" xfId="0" applyNumberFormat="1" applyFill="1" applyBorder="1" applyAlignment="1">
      <alignment/>
    </xf>
    <xf numFmtId="6" fontId="7" fillId="4" borderId="47" xfId="0" applyNumberFormat="1" applyFont="1" applyFill="1" applyBorder="1" applyAlignment="1">
      <alignment/>
    </xf>
    <xf numFmtId="6" fontId="7" fillId="3" borderId="48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7" fillId="0" borderId="0" xfId="0" applyFont="1" applyBorder="1" applyAlignment="1" applyProtection="1">
      <alignment horizontal="centerContinuous" wrapText="1"/>
      <protection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Continuous" wrapText="1"/>
    </xf>
    <xf numFmtId="0" fontId="0" fillId="6" borderId="1" xfId="0" applyFill="1" applyBorder="1" applyAlignment="1">
      <alignment/>
    </xf>
    <xf numFmtId="0" fontId="1" fillId="6" borderId="2" xfId="0" applyFont="1" applyFill="1" applyBorder="1" applyAlignment="1">
      <alignment horizontal="centerContinuous" wrapText="1"/>
    </xf>
    <xf numFmtId="0" fontId="0" fillId="6" borderId="49" xfId="0" applyFill="1" applyBorder="1" applyAlignment="1">
      <alignment horizontal="centerContinuous"/>
    </xf>
    <xf numFmtId="6" fontId="7" fillId="0" borderId="50" xfId="0" applyNumberFormat="1" applyFont="1" applyBorder="1" applyAlignment="1">
      <alignment/>
    </xf>
    <xf numFmtId="6" fontId="7" fillId="0" borderId="51" xfId="0" applyNumberFormat="1" applyFont="1" applyBorder="1" applyAlignment="1">
      <alignment/>
    </xf>
    <xf numFmtId="0" fontId="11" fillId="0" borderId="52" xfId="0" applyFont="1" applyBorder="1" applyAlignment="1">
      <alignment horizontal="centerContinuous"/>
    </xf>
    <xf numFmtId="6" fontId="0" fillId="2" borderId="53" xfId="0" applyNumberFormat="1" applyFill="1" applyBorder="1" applyAlignment="1">
      <alignment/>
    </xf>
    <xf numFmtId="6" fontId="7" fillId="4" borderId="54" xfId="0" applyNumberFormat="1" applyFont="1" applyFill="1" applyBorder="1" applyAlignment="1">
      <alignment/>
    </xf>
    <xf numFmtId="6" fontId="7" fillId="3" borderId="55" xfId="0" applyNumberFormat="1" applyFont="1" applyFill="1" applyBorder="1" applyAlignment="1" applyProtection="1">
      <alignment/>
      <protection locked="0"/>
    </xf>
    <xf numFmtId="6" fontId="7" fillId="4" borderId="55" xfId="0" applyNumberFormat="1" applyFont="1" applyFill="1" applyBorder="1" applyAlignment="1" applyProtection="1">
      <alignment/>
      <protection/>
    </xf>
    <xf numFmtId="6" fontId="7" fillId="4" borderId="55" xfId="0" applyNumberFormat="1" applyFont="1" applyFill="1" applyBorder="1" applyAlignment="1">
      <alignment/>
    </xf>
    <xf numFmtId="6" fontId="7" fillId="3" borderId="56" xfId="0" applyNumberFormat="1" applyFont="1" applyFill="1" applyBorder="1" applyAlignment="1" applyProtection="1">
      <alignment/>
      <protection locked="0"/>
    </xf>
    <xf numFmtId="0" fontId="11" fillId="0" borderId="57" xfId="0" applyFont="1" applyBorder="1" applyAlignment="1">
      <alignment horizontal="center"/>
    </xf>
    <xf numFmtId="6" fontId="0" fillId="2" borderId="58" xfId="0" applyNumberFormat="1" applyFill="1" applyBorder="1" applyAlignment="1">
      <alignment/>
    </xf>
    <xf numFmtId="6" fontId="7" fillId="4" borderId="59" xfId="0" applyNumberFormat="1" applyFont="1" applyFill="1" applyBorder="1" applyAlignment="1">
      <alignment/>
    </xf>
    <xf numFmtId="6" fontId="7" fillId="0" borderId="60" xfId="0" applyNumberFormat="1" applyFont="1" applyBorder="1" applyAlignment="1">
      <alignment/>
    </xf>
    <xf numFmtId="6" fontId="7" fillId="0" borderId="61" xfId="0" applyNumberFormat="1" applyFont="1" applyBorder="1" applyAlignment="1">
      <alignment/>
    </xf>
    <xf numFmtId="6" fontId="7" fillId="4" borderId="60" xfId="0" applyNumberFormat="1" applyFont="1" applyFill="1" applyBorder="1" applyAlignment="1">
      <alignment/>
    </xf>
    <xf numFmtId="6" fontId="7" fillId="0" borderId="62" xfId="0" applyNumberFormat="1" applyFont="1" applyBorder="1" applyAlignment="1">
      <alignment/>
    </xf>
    <xf numFmtId="0" fontId="11" fillId="0" borderId="63" xfId="0" applyFont="1" applyBorder="1" applyAlignment="1">
      <alignment horizontal="centerContinuous"/>
    </xf>
    <xf numFmtId="6" fontId="7" fillId="3" borderId="45" xfId="0" applyNumberFormat="1" applyFont="1" applyFill="1" applyBorder="1" applyAlignment="1" applyProtection="1">
      <alignment/>
      <protection locked="0"/>
    </xf>
    <xf numFmtId="6" fontId="7" fillId="4" borderId="48" xfId="0" applyNumberFormat="1" applyFont="1" applyFill="1" applyBorder="1" applyAlignment="1" applyProtection="1">
      <alignment/>
      <protection/>
    </xf>
    <xf numFmtId="6" fontId="7" fillId="4" borderId="48" xfId="0" applyNumberFormat="1" applyFont="1" applyFill="1" applyBorder="1" applyAlignment="1">
      <alignment/>
    </xf>
    <xf numFmtId="6" fontId="7" fillId="3" borderId="64" xfId="0" applyNumberFormat="1" applyFont="1" applyFill="1" applyBorder="1" applyAlignment="1" applyProtection="1">
      <alignment/>
      <protection locked="0"/>
    </xf>
    <xf numFmtId="0" fontId="7" fillId="0" borderId="6" xfId="0" applyFont="1" applyBorder="1" applyAlignment="1">
      <alignment/>
    </xf>
    <xf numFmtId="6" fontId="7" fillId="0" borderId="6" xfId="0" applyNumberFormat="1" applyFont="1" applyBorder="1" applyAlignment="1">
      <alignment/>
    </xf>
    <xf numFmtId="0" fontId="16" fillId="5" borderId="4" xfId="0" applyFont="1" applyFill="1" applyBorder="1" applyAlignment="1">
      <alignment/>
    </xf>
    <xf numFmtId="8" fontId="12" fillId="5" borderId="6" xfId="0" applyNumberFormat="1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2" fillId="5" borderId="2" xfId="0" applyFont="1" applyFill="1" applyBorder="1" applyAlignment="1">
      <alignment horizontal="right"/>
    </xf>
    <xf numFmtId="8" fontId="15" fillId="0" borderId="0" xfId="0" applyNumberFormat="1" applyFont="1" applyAlignment="1">
      <alignment/>
    </xf>
    <xf numFmtId="6" fontId="7" fillId="0" borderId="5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1" fillId="6" borderId="65" xfId="0" applyFont="1" applyFill="1" applyBorder="1" applyAlignment="1">
      <alignment horizontal="centerContinuous" vertical="center" wrapText="1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6" fontId="7" fillId="0" borderId="55" xfId="0" applyNumberFormat="1" applyFont="1" applyFill="1" applyBorder="1" applyAlignment="1" applyProtection="1">
      <alignment/>
      <protection/>
    </xf>
    <xf numFmtId="6" fontId="7" fillId="0" borderId="48" xfId="0" applyNumberFormat="1" applyFont="1" applyFill="1" applyBorder="1" applyAlignment="1" applyProtection="1">
      <alignment/>
      <protection/>
    </xf>
    <xf numFmtId="40" fontId="7" fillId="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40" fontId="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38" fontId="7" fillId="3" borderId="0" xfId="0" applyNumberFormat="1" applyFont="1" applyFill="1" applyBorder="1" applyAlignment="1" applyProtection="1">
      <alignment horizontal="center"/>
      <protection locked="0"/>
    </xf>
    <xf numFmtId="38" fontId="7" fillId="3" borderId="66" xfId="0" applyNumberFormat="1" applyFont="1" applyFill="1" applyBorder="1" applyAlignment="1" applyProtection="1">
      <alignment horizontal="center"/>
      <protection locked="0"/>
    </xf>
    <xf numFmtId="40" fontId="7" fillId="0" borderId="67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38" fontId="7" fillId="0" borderId="0" xfId="0" applyNumberFormat="1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7" fillId="0" borderId="0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5" fillId="2" borderId="68" xfId="0" applyFont="1" applyFill="1" applyBorder="1" applyAlignment="1">
      <alignment horizontal="centerContinuous"/>
    </xf>
    <xf numFmtId="0" fontId="12" fillId="2" borderId="65" xfId="0" applyFont="1" applyFill="1" applyBorder="1" applyAlignment="1">
      <alignment horizontal="centerContinuous"/>
    </xf>
    <xf numFmtId="0" fontId="12" fillId="2" borderId="68" xfId="0" applyFont="1" applyFill="1" applyBorder="1" applyAlignment="1">
      <alignment horizontal="centerContinuous"/>
    </xf>
    <xf numFmtId="0" fontId="46" fillId="0" borderId="0" xfId="0" applyNumberFormat="1" applyFont="1" applyAlignment="1">
      <alignment/>
    </xf>
    <xf numFmtId="0" fontId="11" fillId="0" borderId="0" xfId="0" applyFont="1" applyAlignment="1">
      <alignment horizontal="right" vertical="center"/>
    </xf>
    <xf numFmtId="40" fontId="11" fillId="0" borderId="0" xfId="0" applyNumberFormat="1" applyFont="1" applyAlignment="1">
      <alignment horizontal="center" vertical="center" wrapText="1"/>
    </xf>
    <xf numFmtId="38" fontId="7" fillId="0" borderId="66" xfId="0" applyNumberFormat="1" applyFont="1" applyFill="1" applyBorder="1" applyAlignment="1" applyProtection="1">
      <alignment horizontal="center"/>
      <protection/>
    </xf>
    <xf numFmtId="8" fontId="15" fillId="7" borderId="11" xfId="0" applyNumberFormat="1" applyFont="1" applyFill="1" applyBorder="1" applyAlignment="1">
      <alignment/>
    </xf>
    <xf numFmtId="8" fontId="15" fillId="7" borderId="21" xfId="0" applyNumberFormat="1" applyFont="1" applyFill="1" applyBorder="1" applyAlignment="1">
      <alignment/>
    </xf>
    <xf numFmtId="8" fontId="15" fillId="7" borderId="7" xfId="0" applyNumberFormat="1" applyFont="1" applyFill="1" applyBorder="1" applyAlignment="1">
      <alignment/>
    </xf>
    <xf numFmtId="0" fontId="47" fillId="0" borderId="3" xfId="0" applyNumberFormat="1" applyFont="1" applyBorder="1" applyAlignment="1">
      <alignment/>
    </xf>
    <xf numFmtId="6" fontId="7" fillId="3" borderId="51" xfId="0" applyNumberFormat="1" applyFont="1" applyFill="1" applyBorder="1" applyAlignment="1" applyProtection="1">
      <alignment/>
      <protection locked="0"/>
    </xf>
    <xf numFmtId="6" fontId="7" fillId="3" borderId="69" xfId="0" applyNumberFormat="1" applyFont="1" applyFill="1" applyBorder="1" applyAlignment="1" applyProtection="1">
      <alignment/>
      <protection locked="0"/>
    </xf>
    <xf numFmtId="164" fontId="11" fillId="0" borderId="70" xfId="0" applyNumberFormat="1" applyFont="1" applyBorder="1" applyAlignment="1">
      <alignment/>
    </xf>
    <xf numFmtId="164" fontId="11" fillId="0" borderId="71" xfId="0" applyNumberFormat="1" applyFont="1" applyBorder="1" applyAlignment="1">
      <alignment/>
    </xf>
    <xf numFmtId="6" fontId="11" fillId="0" borderId="72" xfId="0" applyNumberFormat="1" applyFont="1" applyBorder="1" applyAlignment="1">
      <alignment/>
    </xf>
    <xf numFmtId="164" fontId="7" fillId="0" borderId="71" xfId="0" applyNumberFormat="1" applyFont="1" applyBorder="1" applyAlignment="1">
      <alignment/>
    </xf>
    <xf numFmtId="6" fontId="7" fillId="0" borderId="64" xfId="0" applyNumberFormat="1" applyFont="1" applyFill="1" applyBorder="1" applyAlignment="1" applyProtection="1">
      <alignment/>
      <protection/>
    </xf>
    <xf numFmtId="6" fontId="11" fillId="0" borderId="72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6" fontId="7" fillId="0" borderId="73" xfId="0" applyNumberFormat="1" applyFont="1" applyFill="1" applyBorder="1" applyAlignment="1" applyProtection="1">
      <alignment/>
      <protection/>
    </xf>
    <xf numFmtId="6" fontId="7" fillId="0" borderId="74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6" fontId="7" fillId="0" borderId="29" xfId="0" applyNumberFormat="1" applyFont="1" applyBorder="1" applyAlignment="1">
      <alignment/>
    </xf>
    <xf numFmtId="6" fontId="7" fillId="0" borderId="29" xfId="0" applyNumberFormat="1" applyFont="1" applyBorder="1" applyAlignment="1">
      <alignment/>
    </xf>
    <xf numFmtId="6" fontId="7" fillId="0" borderId="72" xfId="0" applyNumberFormat="1" applyFont="1" applyBorder="1" applyAlignment="1">
      <alignment/>
    </xf>
    <xf numFmtId="6" fontId="18" fillId="0" borderId="67" xfId="0" applyNumberFormat="1" applyFont="1" applyBorder="1" applyAlignment="1">
      <alignment/>
    </xf>
    <xf numFmtId="0" fontId="3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5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15" fillId="0" borderId="4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Continuous"/>
    </xf>
    <xf numFmtId="0" fontId="7" fillId="0" borderId="76" xfId="0" applyFont="1" applyFill="1" applyBorder="1" applyAlignment="1">
      <alignment horizontal="centerContinuous"/>
    </xf>
    <xf numFmtId="0" fontId="0" fillId="0" borderId="77" xfId="0" applyBorder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wrapText="1"/>
    </xf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66" xfId="0" applyNumberFormat="1" applyFont="1" applyBorder="1" applyAlignment="1">
      <alignment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Fill="1" applyBorder="1" applyAlignment="1" applyProtection="1">
      <alignment/>
      <protection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right" vertical="center"/>
    </xf>
    <xf numFmtId="0" fontId="45" fillId="2" borderId="68" xfId="0" applyFont="1" applyFill="1" applyBorder="1" applyAlignment="1">
      <alignment horizontal="centerContinuous"/>
    </xf>
    <xf numFmtId="8" fontId="15" fillId="0" borderId="4" xfId="0" applyNumberFormat="1" applyFont="1" applyBorder="1" applyAlignment="1">
      <alignment/>
    </xf>
    <xf numFmtId="8" fontId="15" fillId="0" borderId="0" xfId="0" applyNumberFormat="1" applyFont="1" applyBorder="1" applyAlignment="1">
      <alignment/>
    </xf>
    <xf numFmtId="38" fontId="7" fillId="0" borderId="11" xfId="0" applyNumberFormat="1" applyFont="1" applyBorder="1" applyAlignment="1">
      <alignment/>
    </xf>
    <xf numFmtId="38" fontId="7" fillId="0" borderId="2" xfId="0" applyNumberFormat="1" applyFont="1" applyBorder="1" applyAlignment="1">
      <alignment/>
    </xf>
    <xf numFmtId="8" fontId="15" fillId="0" borderId="4" xfId="0" applyNumberFormat="1" applyFont="1" applyFill="1" applyBorder="1" applyAlignment="1">
      <alignment/>
    </xf>
    <xf numFmtId="8" fontId="15" fillId="0" borderId="0" xfId="0" applyNumberFormat="1" applyFont="1" applyFill="1" applyBorder="1" applyAlignment="1">
      <alignment/>
    </xf>
    <xf numFmtId="38" fontId="7" fillId="0" borderId="11" xfId="0" applyNumberFormat="1" applyFont="1" applyFill="1" applyBorder="1" applyAlignment="1">
      <alignment/>
    </xf>
    <xf numFmtId="38" fontId="7" fillId="0" borderId="2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8" fontId="7" fillId="0" borderId="11" xfId="0" applyNumberFormat="1" applyFont="1" applyBorder="1" applyAlignment="1">
      <alignment horizontal="center"/>
    </xf>
    <xf numFmtId="8" fontId="15" fillId="7" borderId="4" xfId="0" applyNumberFormat="1" applyFont="1" applyFill="1" applyBorder="1" applyAlignment="1">
      <alignment/>
    </xf>
    <xf numFmtId="8" fontId="7" fillId="0" borderId="11" xfId="0" applyNumberFormat="1" applyFont="1" applyFill="1" applyBorder="1" applyAlignment="1">
      <alignment horizontal="center"/>
    </xf>
    <xf numFmtId="8" fontId="15" fillId="7" borderId="0" xfId="0" applyNumberFormat="1" applyFont="1" applyFill="1" applyBorder="1" applyAlignment="1">
      <alignment/>
    </xf>
    <xf numFmtId="3" fontId="7" fillId="3" borderId="6" xfId="0" applyNumberFormat="1" applyFont="1" applyFill="1" applyBorder="1" applyAlignment="1" applyProtection="1">
      <alignment/>
      <protection locked="0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Continuous" vertical="center" wrapText="1"/>
    </xf>
    <xf numFmtId="0" fontId="18" fillId="7" borderId="78" xfId="0" applyFont="1" applyFill="1" applyBorder="1" applyAlignment="1">
      <alignment horizontal="centerContinuous" vertical="center" wrapText="1"/>
    </xf>
    <xf numFmtId="0" fontId="18" fillId="7" borderId="79" xfId="0" applyFont="1" applyFill="1" applyBorder="1" applyAlignment="1">
      <alignment horizontal="center" vertical="center" wrapText="1"/>
    </xf>
    <xf numFmtId="0" fontId="18" fillId="7" borderId="80" xfId="0" applyFont="1" applyFill="1" applyBorder="1" applyAlignment="1">
      <alignment horizontal="centerContinuous" vertical="center" wrapText="1"/>
    </xf>
    <xf numFmtId="0" fontId="18" fillId="7" borderId="79" xfId="0" applyFont="1" applyFill="1" applyBorder="1" applyAlignment="1">
      <alignment horizontal="centerContinuous" vertical="center" wrapText="1"/>
    </xf>
    <xf numFmtId="0" fontId="18" fillId="7" borderId="78" xfId="0" applyFont="1" applyFill="1" applyBorder="1" applyAlignment="1">
      <alignment horizontal="center" vertical="center" wrapText="1"/>
    </xf>
    <xf numFmtId="0" fontId="15" fillId="0" borderId="81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4" xfId="0" applyFont="1" applyBorder="1" applyAlignment="1">
      <alignment horizontal="right"/>
    </xf>
    <xf numFmtId="38" fontId="19" fillId="3" borderId="85" xfId="0" applyNumberFormat="1" applyFont="1" applyFill="1" applyBorder="1" applyAlignment="1" applyProtection="1">
      <alignment/>
      <protection locked="0"/>
    </xf>
    <xf numFmtId="38" fontId="19" fillId="3" borderId="86" xfId="0" applyNumberFormat="1" applyFont="1" applyFill="1" applyBorder="1" applyAlignment="1" applyProtection="1">
      <alignment/>
      <protection locked="0"/>
    </xf>
    <xf numFmtId="173" fontId="19" fillId="3" borderId="87" xfId="0" applyNumberFormat="1" applyFont="1" applyFill="1" applyBorder="1" applyAlignment="1" applyProtection="1">
      <alignment/>
      <protection locked="0"/>
    </xf>
    <xf numFmtId="173" fontId="19" fillId="0" borderId="88" xfId="0" applyNumberFormat="1" applyFont="1" applyBorder="1" applyAlignment="1">
      <alignment/>
    </xf>
    <xf numFmtId="173" fontId="19" fillId="0" borderId="89" xfId="0" applyNumberFormat="1" applyFont="1" applyFill="1" applyBorder="1" applyAlignment="1" applyProtection="1">
      <alignment/>
      <protection/>
    </xf>
    <xf numFmtId="173" fontId="19" fillId="3" borderId="90" xfId="0" applyNumberFormat="1" applyFont="1" applyFill="1" applyBorder="1" applyAlignment="1" applyProtection="1">
      <alignment/>
      <protection locked="0"/>
    </xf>
    <xf numFmtId="8" fontId="15" fillId="0" borderId="9" xfId="0" applyNumberFormat="1" applyFont="1" applyBorder="1" applyAlignment="1">
      <alignment/>
    </xf>
    <xf numFmtId="173" fontId="19" fillId="0" borderId="0" xfId="0" applyNumberFormat="1" applyFont="1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1" xfId="0" applyBorder="1" applyAlignment="1">
      <alignment horizontal="centerContinuous" vertical="center"/>
    </xf>
    <xf numFmtId="173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40" fontId="7" fillId="0" borderId="2" xfId="0" applyNumberFormat="1" applyFont="1" applyBorder="1" applyAlignment="1">
      <alignment/>
    </xf>
    <xf numFmtId="38" fontId="0" fillId="0" borderId="0" xfId="0" applyNumberFormat="1" applyAlignment="1">
      <alignment/>
    </xf>
    <xf numFmtId="173" fontId="19" fillId="0" borderId="92" xfId="0" applyNumberFormat="1" applyFont="1" applyBorder="1" applyAlignment="1">
      <alignment/>
    </xf>
    <xf numFmtId="173" fontId="19" fillId="0" borderId="93" xfId="0" applyNumberFormat="1" applyFont="1" applyBorder="1" applyAlignment="1">
      <alignment/>
    </xf>
    <xf numFmtId="0" fontId="11" fillId="0" borderId="94" xfId="0" applyFont="1" applyBorder="1" applyAlignment="1">
      <alignment horizontal="center" vertical="center" wrapText="1"/>
    </xf>
    <xf numFmtId="0" fontId="18" fillId="0" borderId="95" xfId="0" applyFont="1" applyBorder="1" applyAlignment="1">
      <alignment horizontal="centerContinuous" vertical="center" wrapText="1"/>
    </xf>
    <xf numFmtId="0" fontId="18" fillId="0" borderId="96" xfId="0" applyFont="1" applyBorder="1" applyAlignment="1">
      <alignment horizontal="centerContinuous" vertical="center" wrapText="1"/>
    </xf>
    <xf numFmtId="173" fontId="7" fillId="0" borderId="97" xfId="0" applyNumberFormat="1" applyFont="1" applyBorder="1" applyAlignment="1">
      <alignment horizontal="center"/>
    </xf>
    <xf numFmtId="8" fontId="15" fillId="7" borderId="98" xfId="0" applyNumberFormat="1" applyFont="1" applyFill="1" applyBorder="1" applyAlignment="1">
      <alignment/>
    </xf>
    <xf numFmtId="8" fontId="7" fillId="0" borderId="99" xfId="0" applyNumberFormat="1" applyFont="1" applyFill="1" applyBorder="1" applyAlignment="1">
      <alignment horizontal="center"/>
    </xf>
    <xf numFmtId="173" fontId="7" fillId="0" borderId="100" xfId="0" applyNumberFormat="1" applyFont="1" applyBorder="1" applyAlignment="1">
      <alignment horizontal="center"/>
    </xf>
    <xf numFmtId="0" fontId="11" fillId="0" borderId="101" xfId="0" applyFont="1" applyBorder="1" applyAlignment="1">
      <alignment horizontal="center" vertical="center" wrapText="1"/>
    </xf>
    <xf numFmtId="6" fontId="7" fillId="0" borderId="0" xfId="0" applyNumberFormat="1" applyFont="1" applyBorder="1" applyAlignment="1" applyProtection="1">
      <alignment/>
      <protection/>
    </xf>
    <xf numFmtId="6" fontId="7" fillId="0" borderId="0" xfId="0" applyNumberFormat="1" applyFont="1" applyAlignment="1" applyProtection="1">
      <alignment/>
      <protection/>
    </xf>
    <xf numFmtId="0" fontId="15" fillId="2" borderId="68" xfId="0" applyFont="1" applyFill="1" applyBorder="1" applyAlignment="1" applyProtection="1">
      <alignment horizontal="centerContinuous"/>
      <protection/>
    </xf>
    <xf numFmtId="0" fontId="18" fillId="0" borderId="79" xfId="0" applyFont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/>
      <protection/>
    </xf>
    <xf numFmtId="169" fontId="7" fillId="0" borderId="10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8" fontId="15" fillId="0" borderId="103" xfId="0" applyNumberFormat="1" applyFon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38" fontId="7" fillId="0" borderId="0" xfId="0" applyNumberFormat="1" applyFont="1" applyAlignment="1" applyProtection="1">
      <alignment/>
      <protection/>
    </xf>
    <xf numFmtId="8" fontId="7" fillId="0" borderId="99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8" fontId="36" fillId="0" borderId="0" xfId="0" applyNumberFormat="1" applyFont="1" applyAlignment="1" applyProtection="1">
      <alignment/>
      <protection/>
    </xf>
    <xf numFmtId="0" fontId="0" fillId="0" borderId="79" xfId="0" applyBorder="1" applyAlignment="1" applyProtection="1">
      <alignment horizontal="centerContinuous" vertical="center"/>
      <protection/>
    </xf>
    <xf numFmtId="0" fontId="7" fillId="0" borderId="98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34" fillId="3" borderId="0" xfId="0" applyFont="1" applyFill="1" applyAlignment="1" applyProtection="1">
      <alignment/>
      <protection locked="0"/>
    </xf>
    <xf numFmtId="6" fontId="7" fillId="3" borderId="29" xfId="0" applyNumberFormat="1" applyFont="1" applyFill="1" applyBorder="1" applyAlignment="1" applyProtection="1">
      <alignment vertical="center"/>
      <protection locked="0"/>
    </xf>
    <xf numFmtId="6" fontId="7" fillId="0" borderId="10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18" fillId="0" borderId="96" xfId="0" applyFont="1" applyBorder="1" applyAlignment="1">
      <alignment horizontal="center" vertical="center" wrapText="1"/>
    </xf>
    <xf numFmtId="6" fontId="15" fillId="0" borderId="8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0" fontId="11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/>
      <protection/>
    </xf>
    <xf numFmtId="8" fontId="7" fillId="0" borderId="9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38" fontId="0" fillId="0" borderId="0" xfId="0" applyNumberFormat="1" applyAlignment="1" applyProtection="1">
      <alignment/>
      <protection/>
    </xf>
    <xf numFmtId="0" fontId="11" fillId="0" borderId="0" xfId="0" applyFont="1" applyAlignment="1">
      <alignment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49" fontId="5" fillId="0" borderId="4" xfId="0" applyNumberFormat="1" applyFont="1" applyBorder="1" applyAlignment="1" applyProtection="1">
      <alignment horizontal="center" wrapText="1"/>
      <protection locked="0"/>
    </xf>
    <xf numFmtId="0" fontId="53" fillId="0" borderId="0" xfId="0" applyFont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/>
    </xf>
    <xf numFmtId="0" fontId="49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7" fontId="15" fillId="0" borderId="0" xfId="0" applyNumberFormat="1" applyFont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15" fillId="0" borderId="0" xfId="0" applyFont="1" applyBorder="1" applyAlignment="1">
      <alignment horizontal="centerContinuous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>
      <alignment/>
    </xf>
    <xf numFmtId="8" fontId="12" fillId="0" borderId="0" xfId="0" applyNumberFormat="1" applyFont="1" applyFill="1" applyBorder="1" applyAlignment="1">
      <alignment/>
    </xf>
    <xf numFmtId="0" fontId="54" fillId="3" borderId="0" xfId="0" applyFont="1" applyFill="1" applyAlignment="1" applyProtection="1">
      <alignment/>
      <protection locked="0"/>
    </xf>
    <xf numFmtId="0" fontId="0" fillId="0" borderId="0" xfId="0" applyBorder="1" applyAlignment="1">
      <alignment vertical="center"/>
    </xf>
    <xf numFmtId="6" fontId="53" fillId="0" borderId="0" xfId="0" applyNumberFormat="1" applyFont="1" applyAlignment="1">
      <alignment/>
    </xf>
    <xf numFmtId="166" fontId="0" fillId="3" borderId="2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8" fontId="55" fillId="0" borderId="0" xfId="0" applyNumberFormat="1" applyFont="1" applyAlignment="1">
      <alignment/>
    </xf>
    <xf numFmtId="38" fontId="19" fillId="0" borderId="0" xfId="0" applyNumberFormat="1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Alignment="1" applyProtection="1">
      <alignment/>
      <protection/>
    </xf>
    <xf numFmtId="0" fontId="7" fillId="3" borderId="104" xfId="0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2" xfId="0" applyFont="1" applyFill="1" applyBorder="1" applyAlignment="1" applyProtection="1">
      <alignment vertical="top" wrapText="1"/>
      <protection locked="0"/>
    </xf>
    <xf numFmtId="0" fontId="7" fillId="3" borderId="35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Alignment="1">
      <alignment/>
    </xf>
    <xf numFmtId="0" fontId="7" fillId="3" borderId="13" xfId="0" applyFont="1" applyFill="1" applyBorder="1" applyAlignment="1">
      <alignment/>
    </xf>
    <xf numFmtId="164" fontId="7" fillId="0" borderId="105" xfId="0" applyNumberFormat="1" applyFont="1" applyBorder="1" applyAlignment="1">
      <alignment/>
    </xf>
    <xf numFmtId="0" fontId="7" fillId="3" borderId="12" xfId="0" applyFont="1" applyFill="1" applyBorder="1" applyAlignment="1">
      <alignment/>
    </xf>
    <xf numFmtId="38" fontId="7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29" fillId="0" borderId="32" xfId="0" applyNumberFormat="1" applyFont="1" applyBorder="1" applyAlignment="1">
      <alignment horizontal="left" wrapText="1"/>
    </xf>
    <xf numFmtId="0" fontId="0" fillId="0" borderId="106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7" fillId="3" borderId="104" xfId="0" applyFont="1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21" xfId="0" applyFill="1" applyBorder="1" applyAlignment="1" applyProtection="1">
      <alignment vertical="top" wrapText="1"/>
      <protection locked="0"/>
    </xf>
    <xf numFmtId="0" fontId="8" fillId="3" borderId="104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7" fillId="3" borderId="26" xfId="0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7" fillId="0" borderId="0" xfId="0" applyFont="1" applyAlignment="1">
      <alignment horizontal="center" wrapText="1"/>
    </xf>
    <xf numFmtId="0" fontId="7" fillId="0" borderId="107" xfId="0" applyFont="1" applyBorder="1" applyAlignment="1">
      <alignment horizontal="center" wrapText="1"/>
    </xf>
    <xf numFmtId="0" fontId="0" fillId="0" borderId="45" xfId="0" applyBorder="1" applyAlignment="1">
      <alignment wrapText="1"/>
    </xf>
    <xf numFmtId="0" fontId="39" fillId="0" borderId="0" xfId="0" applyFont="1" applyBorder="1" applyAlignment="1">
      <alignment horizontal="right" vertical="center" wrapText="1"/>
    </xf>
    <xf numFmtId="0" fontId="0" fillId="0" borderId="93" xfId="0" applyBorder="1" applyAlignment="1">
      <alignment wrapText="1"/>
    </xf>
    <xf numFmtId="0" fontId="47" fillId="0" borderId="10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7" fillId="0" borderId="108" xfId="0" applyFont="1" applyBorder="1" applyAlignment="1">
      <alignment horizontal="center" wrapText="1"/>
    </xf>
    <xf numFmtId="0" fontId="0" fillId="0" borderId="109" xfId="0" applyBorder="1" applyAlignment="1">
      <alignment horizontal="center" wrapText="1"/>
    </xf>
    <xf numFmtId="0" fontId="7" fillId="0" borderId="110" xfId="0" applyFont="1" applyBorder="1" applyAlignment="1">
      <alignment horizontal="center" wrapText="1"/>
    </xf>
    <xf numFmtId="0" fontId="7" fillId="0" borderId="111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0"/>
  <sheetViews>
    <sheetView workbookViewId="0" topLeftCell="A2">
      <selection activeCell="B18" sqref="B18:G20"/>
    </sheetView>
  </sheetViews>
  <sheetFormatPr defaultColWidth="9.00390625" defaultRowHeight="12.75"/>
  <cols>
    <col min="1" max="1" width="16.875" style="0" customWidth="1"/>
    <col min="2" max="2" width="9.625" style="0" customWidth="1"/>
    <col min="3" max="3" width="9.25390625" style="0" customWidth="1"/>
    <col min="4" max="6" width="11.00390625" style="0" customWidth="1"/>
    <col min="7" max="7" width="16.00390625" style="0" customWidth="1"/>
    <col min="8" max="13" width="11.00390625" style="0" customWidth="1"/>
    <col min="14" max="14" width="2.875" style="0" customWidth="1"/>
    <col min="15" max="16384" width="11.00390625" style="0" customWidth="1"/>
  </cols>
  <sheetData>
    <row r="1" spans="1:7" s="1" customFormat="1" ht="22.5" customHeight="1">
      <c r="A1" s="485" t="s">
        <v>67</v>
      </c>
      <c r="B1" s="486"/>
      <c r="C1" s="486"/>
      <c r="D1" s="486"/>
      <c r="E1" s="486"/>
      <c r="F1" s="486"/>
      <c r="G1" s="486"/>
    </row>
    <row r="2" spans="1:2" s="1" customFormat="1" ht="18.75" customHeight="1">
      <c r="A2" s="116"/>
      <c r="B2" s="3"/>
    </row>
    <row r="3" spans="1:8" ht="60" customHeight="1">
      <c r="A3" s="490" t="s">
        <v>214</v>
      </c>
      <c r="B3" s="488"/>
      <c r="C3" s="487" t="s">
        <v>97</v>
      </c>
      <c r="D3" s="488"/>
      <c r="E3" s="488"/>
      <c r="F3" s="488"/>
      <c r="G3" s="488"/>
      <c r="H3" s="57"/>
    </row>
    <row r="4" spans="1:8" ht="60" customHeight="1">
      <c r="A4" s="57"/>
      <c r="B4" s="57"/>
      <c r="C4" s="487" t="s">
        <v>85</v>
      </c>
      <c r="D4" s="488"/>
      <c r="E4" s="488"/>
      <c r="F4" s="488"/>
      <c r="G4" s="488"/>
      <c r="H4" s="57"/>
    </row>
    <row r="5" spans="1:8" ht="15">
      <c r="A5" s="57"/>
      <c r="B5" s="57"/>
      <c r="C5" s="487"/>
      <c r="D5" s="488"/>
      <c r="E5" s="488"/>
      <c r="F5" s="488"/>
      <c r="G5" s="488"/>
      <c r="H5" s="57"/>
    </row>
    <row r="6" spans="1:8" ht="34.5" customHeight="1">
      <c r="A6" s="57"/>
      <c r="B6" s="481" t="s">
        <v>98</v>
      </c>
      <c r="C6" s="482"/>
      <c r="D6" s="62" t="s">
        <v>99</v>
      </c>
      <c r="E6" s="57"/>
      <c r="F6" s="57"/>
      <c r="G6" s="57"/>
      <c r="H6" s="57"/>
    </row>
    <row r="7" spans="1:8" ht="19.5" customHeight="1">
      <c r="A7" s="57"/>
      <c r="B7" s="58"/>
      <c r="C7" s="115" t="s">
        <v>53</v>
      </c>
      <c r="D7" s="59" t="s">
        <v>185</v>
      </c>
      <c r="E7" s="57"/>
      <c r="F7" s="57"/>
      <c r="G7" s="57"/>
      <c r="H7" s="57"/>
    </row>
    <row r="8" spans="1:8" ht="19.5" customHeight="1">
      <c r="A8" s="57"/>
      <c r="B8" s="58"/>
      <c r="C8" s="115" t="s">
        <v>55</v>
      </c>
      <c r="D8" s="59" t="s">
        <v>111</v>
      </c>
      <c r="E8" s="57"/>
      <c r="F8" s="57"/>
      <c r="G8" s="57"/>
      <c r="H8" s="57"/>
    </row>
    <row r="9" spans="1:8" ht="19.5" customHeight="1">
      <c r="A9" s="57"/>
      <c r="B9" s="58"/>
      <c r="C9" s="115" t="s">
        <v>30</v>
      </c>
      <c r="D9" s="60" t="s">
        <v>54</v>
      </c>
      <c r="E9" s="61"/>
      <c r="F9" s="57"/>
      <c r="G9" s="57"/>
      <c r="H9" s="57"/>
    </row>
    <row r="10" spans="1:8" ht="19.5" customHeight="1">
      <c r="A10" s="57"/>
      <c r="B10" s="58"/>
      <c r="C10" s="115" t="s">
        <v>31</v>
      </c>
      <c r="D10" s="60" t="s">
        <v>54</v>
      </c>
      <c r="E10" s="61"/>
      <c r="F10" s="57"/>
      <c r="G10" s="57"/>
      <c r="H10" s="57"/>
    </row>
    <row r="11" spans="1:8" ht="15">
      <c r="A11" s="57"/>
      <c r="B11" s="57"/>
      <c r="C11" s="57"/>
      <c r="D11" s="57"/>
      <c r="E11" s="57"/>
      <c r="F11" s="57"/>
      <c r="G11" s="57"/>
      <c r="H11" s="57"/>
    </row>
    <row r="12" spans="1:8" ht="14.25" customHeight="1">
      <c r="A12" s="57"/>
      <c r="B12" s="479" t="s">
        <v>203</v>
      </c>
      <c r="C12" s="480"/>
      <c r="D12" s="480"/>
      <c r="E12" s="480"/>
      <c r="F12" s="480"/>
      <c r="G12" s="480"/>
      <c r="H12" s="57"/>
    </row>
    <row r="13" spans="1:8" ht="15">
      <c r="A13" s="57"/>
      <c r="B13" s="117" t="s">
        <v>71</v>
      </c>
      <c r="C13" s="487" t="s">
        <v>192</v>
      </c>
      <c r="D13" s="487"/>
      <c r="E13" s="487"/>
      <c r="F13" s="487"/>
      <c r="G13" s="487"/>
      <c r="H13" s="57"/>
    </row>
    <row r="14" spans="1:8" ht="15">
      <c r="A14" s="57"/>
      <c r="B14" s="117" t="s">
        <v>72</v>
      </c>
      <c r="C14" s="487" t="s">
        <v>193</v>
      </c>
      <c r="D14" s="487"/>
      <c r="E14" s="487"/>
      <c r="F14" s="487"/>
      <c r="G14" s="487"/>
      <c r="H14" s="57"/>
    </row>
    <row r="15" spans="1:8" ht="15">
      <c r="A15" s="57"/>
      <c r="B15" s="117" t="s">
        <v>73</v>
      </c>
      <c r="C15" s="487" t="s">
        <v>204</v>
      </c>
      <c r="D15" s="487"/>
      <c r="E15" s="487"/>
      <c r="F15" s="487"/>
      <c r="G15" s="487"/>
      <c r="H15" s="57"/>
    </row>
    <row r="16" spans="1:8" ht="15">
      <c r="A16" s="57"/>
      <c r="B16" s="117" t="s">
        <v>74</v>
      </c>
      <c r="C16" s="487" t="s">
        <v>174</v>
      </c>
      <c r="D16" s="487"/>
      <c r="E16" s="487"/>
      <c r="F16" s="487"/>
      <c r="G16" s="487"/>
      <c r="H16" s="57"/>
    </row>
    <row r="17" spans="1:8" ht="15">
      <c r="A17" s="57"/>
      <c r="B17" s="57"/>
      <c r="C17" s="57"/>
      <c r="D17" s="57"/>
      <c r="E17" s="57"/>
      <c r="F17" s="57"/>
      <c r="G17" s="57"/>
      <c r="H17" s="57"/>
    </row>
    <row r="18" spans="2:10" ht="15">
      <c r="B18" s="489" t="s">
        <v>181</v>
      </c>
      <c r="C18" s="488"/>
      <c r="D18" s="488"/>
      <c r="E18" s="488"/>
      <c r="F18" s="488"/>
      <c r="G18" s="488"/>
      <c r="H18" s="147"/>
      <c r="I18" s="148"/>
      <c r="J18" s="162"/>
    </row>
    <row r="19" spans="1:8" ht="15">
      <c r="A19" s="57"/>
      <c r="B19" s="488"/>
      <c r="C19" s="488"/>
      <c r="D19" s="488"/>
      <c r="E19" s="488"/>
      <c r="F19" s="488"/>
      <c r="G19" s="488"/>
      <c r="H19" s="57"/>
    </row>
    <row r="20" spans="2:7" ht="12.75">
      <c r="B20" s="488"/>
      <c r="C20" s="488"/>
      <c r="D20" s="488"/>
      <c r="E20" s="488"/>
      <c r="F20" s="488"/>
      <c r="G20" s="488"/>
    </row>
  </sheetData>
  <sheetProtection selectLockedCells="1"/>
  <mergeCells count="12">
    <mergeCell ref="C16:G16"/>
    <mergeCell ref="B18:G20"/>
    <mergeCell ref="A3:B3"/>
    <mergeCell ref="B12:G12"/>
    <mergeCell ref="C13:G13"/>
    <mergeCell ref="C14:G14"/>
    <mergeCell ref="C15:G15"/>
    <mergeCell ref="B6:C6"/>
    <mergeCell ref="A1:G1"/>
    <mergeCell ref="C3:G3"/>
    <mergeCell ref="C4:G4"/>
    <mergeCell ref="C5:G5"/>
  </mergeCells>
  <printOptions horizontalCentered="1" verticalCentered="1"/>
  <pageMargins left="0.64" right="0.53" top="0.81" bottom="0.82" header="0.5" footer="0.5"/>
  <pageSetup cellComments="asDisplayed" fitToHeight="1" fitToWidth="1" horizontalDpi="600" verticalDpi="600" orientation="portrait" scale="97" r:id="rId2"/>
  <headerFooter alignWithMargins="0">
    <oddFooter>&amp;L&amp;"Arial,Regular"&amp;F:  &amp;A&amp;C&amp;R&amp;"Arial,Regular"Page &amp;P of &amp;N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24"/>
  <sheetViews>
    <sheetView view="pageBreakPreview" zoomScale="75" zoomScaleSheetLayoutView="75" workbookViewId="0" topLeftCell="A1">
      <selection activeCell="H98" sqref="H98:H114"/>
    </sheetView>
  </sheetViews>
  <sheetFormatPr defaultColWidth="9.00390625" defaultRowHeight="12.75"/>
  <cols>
    <col min="1" max="1" width="4.25390625" style="1" customWidth="1"/>
    <col min="2" max="2" width="3.625" style="3" customWidth="1"/>
    <col min="3" max="3" width="29.00390625" style="1" customWidth="1"/>
    <col min="4" max="4" width="10.75390625" style="1" customWidth="1"/>
    <col min="5" max="5" width="12.75390625" style="1" customWidth="1"/>
    <col min="6" max="7" width="8.75390625" style="1" hidden="1" customWidth="1"/>
    <col min="8" max="8" width="57.75390625" style="1" customWidth="1"/>
    <col min="9" max="16384" width="10.75390625" style="1" customWidth="1"/>
  </cols>
  <sheetData>
    <row r="1" spans="1:8" ht="21.75" customHeight="1">
      <c r="A1" s="485" t="s">
        <v>215</v>
      </c>
      <c r="B1" s="486"/>
      <c r="C1" s="486"/>
      <c r="D1" s="486"/>
      <c r="E1" s="486"/>
      <c r="F1" s="486"/>
      <c r="G1" s="486"/>
      <c r="H1" s="486"/>
    </row>
    <row r="2" spans="1:8" ht="21.75" customHeight="1">
      <c r="A2" s="477"/>
      <c r="B2" s="478"/>
      <c r="C2" s="478"/>
      <c r="D2" s="478"/>
      <c r="E2" s="478"/>
      <c r="F2" s="478"/>
      <c r="G2" s="478"/>
      <c r="H2" s="478"/>
    </row>
    <row r="3" spans="1:8" ht="15.75" customHeight="1">
      <c r="A3" s="503" t="str">
        <f>'Pool Designation'!D7</f>
        <v>CTD (or Generic)</v>
      </c>
      <c r="B3" s="486"/>
      <c r="C3" s="486"/>
      <c r="D3" s="486"/>
      <c r="E3" s="486"/>
      <c r="F3" s="486"/>
      <c r="G3" s="486"/>
      <c r="H3" s="486"/>
    </row>
    <row r="4" spans="1:3" s="118" customFormat="1" ht="15.75" customHeight="1">
      <c r="A4" s="128" t="s">
        <v>71</v>
      </c>
      <c r="B4" s="127" t="s">
        <v>199</v>
      </c>
      <c r="C4" s="127"/>
    </row>
    <row r="5" spans="1:8" ht="54" customHeight="1">
      <c r="A5" s="26"/>
      <c r="B5" s="27"/>
      <c r="C5" s="28"/>
      <c r="D5" s="30" t="s">
        <v>86</v>
      </c>
      <c r="E5" s="30" t="s">
        <v>81</v>
      </c>
      <c r="F5" s="156"/>
      <c r="G5" s="26"/>
      <c r="H5" s="29"/>
    </row>
    <row r="6" spans="1:8" ht="16.5" customHeight="1">
      <c r="A6" s="12"/>
      <c r="B6" s="19"/>
      <c r="C6" s="2"/>
      <c r="D6" s="444">
        <v>0</v>
      </c>
      <c r="E6" s="440"/>
      <c r="F6" s="155"/>
      <c r="G6" s="501" t="s">
        <v>142</v>
      </c>
      <c r="H6" s="77"/>
    </row>
    <row r="7" spans="1:8" ht="12.75" customHeight="1">
      <c r="A7" s="12"/>
      <c r="B7" s="19"/>
      <c r="C7" s="22" t="s">
        <v>76</v>
      </c>
      <c r="D7" s="160">
        <v>2005</v>
      </c>
      <c r="E7" s="159">
        <v>2006</v>
      </c>
      <c r="F7" s="155"/>
      <c r="G7" s="502"/>
      <c r="H7" s="77"/>
    </row>
    <row r="8" spans="1:8" ht="16.5" customHeight="1">
      <c r="A8" s="12"/>
      <c r="B8" s="19"/>
      <c r="C8" s="2"/>
      <c r="D8" s="441">
        <f>IF(D6=1,"Sept 30th of",IF(D6=2,"June 30th of",IF(D6=3,"Dec 31st of","")))</f>
      </c>
      <c r="E8" s="440">
        <f>D8</f>
      </c>
      <c r="F8" s="499" t="s">
        <v>143</v>
      </c>
      <c r="G8" s="502"/>
      <c r="H8" s="77"/>
    </row>
    <row r="9" spans="1:8" s="118" customFormat="1" ht="14.25" customHeight="1">
      <c r="A9" s="176"/>
      <c r="B9" s="422"/>
      <c r="C9" s="423" t="s">
        <v>76</v>
      </c>
      <c r="D9" s="424">
        <v>2005</v>
      </c>
      <c r="E9" s="425">
        <v>2006</v>
      </c>
      <c r="F9" s="500"/>
      <c r="G9" s="502"/>
      <c r="H9" s="426"/>
    </row>
    <row r="10" spans="1:8" ht="12.75">
      <c r="A10" s="157">
        <v>1</v>
      </c>
      <c r="B10" s="5"/>
      <c r="C10" s="73"/>
      <c r="D10" s="74">
        <v>2</v>
      </c>
      <c r="E10" s="74">
        <v>3</v>
      </c>
      <c r="F10" s="75">
        <v>5</v>
      </c>
      <c r="G10" s="76">
        <v>6</v>
      </c>
      <c r="H10" s="76">
        <v>7</v>
      </c>
    </row>
    <row r="11" spans="1:8" ht="15.75">
      <c r="A11" s="11" t="s">
        <v>87</v>
      </c>
      <c r="B11" s="71"/>
      <c r="C11" s="71"/>
      <c r="D11" s="79"/>
      <c r="E11" s="79"/>
      <c r="F11" s="80"/>
      <c r="G11" s="78"/>
      <c r="H11" s="78"/>
    </row>
    <row r="12" spans="1:8" ht="12.75">
      <c r="A12" s="12"/>
      <c r="B12" s="94" t="s">
        <v>140</v>
      </c>
      <c r="C12" s="95"/>
      <c r="D12" s="98"/>
      <c r="E12" s="98"/>
      <c r="F12" s="99"/>
      <c r="G12" s="97"/>
      <c r="H12" s="100"/>
    </row>
    <row r="13" spans="1:8" ht="12.75">
      <c r="A13" s="12"/>
      <c r="B13" s="6"/>
      <c r="C13" s="7" t="s">
        <v>162</v>
      </c>
      <c r="D13" s="105">
        <v>29927</v>
      </c>
      <c r="E13" s="104">
        <v>30000</v>
      </c>
      <c r="F13" s="65" t="e">
        <f>IF(#REF!=0," ",(E13-#REF!)/#REF!)</f>
        <v>#REF!</v>
      </c>
      <c r="G13" s="35">
        <f>IF(D13=0," ",((E13-D13)/D13)/2)</f>
        <v>0.001219634443813279</v>
      </c>
      <c r="H13" s="496"/>
    </row>
    <row r="14" spans="1:8" ht="12.75">
      <c r="A14" s="12"/>
      <c r="B14" s="6"/>
      <c r="C14" s="7" t="s">
        <v>163</v>
      </c>
      <c r="D14" s="105"/>
      <c r="E14" s="104"/>
      <c r="F14" s="65" t="e">
        <f>IF(#REF!=0," ",(E14-#REF!)/#REF!)</f>
        <v>#REF!</v>
      </c>
      <c r="G14" s="35" t="str">
        <f>IF(D14=0," ",((E14-D14)/D14)/2)</f>
        <v> </v>
      </c>
      <c r="H14" s="497"/>
    </row>
    <row r="15" spans="1:8" ht="12.75">
      <c r="A15" s="12"/>
      <c r="B15" s="6"/>
      <c r="C15" s="7" t="s">
        <v>164</v>
      </c>
      <c r="D15" s="105"/>
      <c r="E15" s="104"/>
      <c r="F15" s="65" t="e">
        <f>IF(#REF!=0," ",(E15-#REF!)/#REF!)</f>
        <v>#REF!</v>
      </c>
      <c r="G15" s="35" t="str">
        <f>IF(D15=0," ",((E15-D15)/D15)/2)</f>
        <v> </v>
      </c>
      <c r="H15" s="497"/>
    </row>
    <row r="16" spans="1:8" ht="12.75">
      <c r="A16" s="12"/>
      <c r="B16" s="6"/>
      <c r="C16" s="7" t="s">
        <v>165</v>
      </c>
      <c r="D16" s="105"/>
      <c r="E16" s="104"/>
      <c r="F16" s="65" t="e">
        <f>IF(#REF!=0," ",(E16-#REF!)/#REF!)</f>
        <v>#REF!</v>
      </c>
      <c r="G16" s="35" t="str">
        <f>IF(D16=0," ",((E16-D16)/D16)/2)</f>
        <v> </v>
      </c>
      <c r="H16" s="497"/>
    </row>
    <row r="17" spans="1:8" ht="12.75">
      <c r="A17" s="12"/>
      <c r="B17" s="6"/>
      <c r="C17" s="7" t="s">
        <v>166</v>
      </c>
      <c r="D17" s="105"/>
      <c r="E17" s="104"/>
      <c r="F17" s="65" t="e">
        <f>IF(#REF!=0," ",(E17-#REF!)/#REF!)</f>
        <v>#REF!</v>
      </c>
      <c r="G17" s="35" t="str">
        <f>IF(D17=0," ",((E17-D17)/D17)/2)</f>
        <v> </v>
      </c>
      <c r="H17" s="497"/>
    </row>
    <row r="18" spans="1:8" ht="12.75">
      <c r="A18" s="12"/>
      <c r="B18" s="6"/>
      <c r="C18" s="149" t="s">
        <v>75</v>
      </c>
      <c r="D18" s="473"/>
      <c r="E18" s="475"/>
      <c r="F18" s="474"/>
      <c r="G18" s="35"/>
      <c r="H18" s="493"/>
    </row>
    <row r="19" spans="1:8" ht="12.75">
      <c r="A19" s="12"/>
      <c r="B19" s="89" t="s">
        <v>167</v>
      </c>
      <c r="C19" s="93"/>
      <c r="D19" s="91"/>
      <c r="E19" s="91"/>
      <c r="F19" s="101"/>
      <c r="G19" s="92"/>
      <c r="H19" s="92"/>
    </row>
    <row r="20" spans="1:8" ht="12.75">
      <c r="A20" s="12"/>
      <c r="B20" s="6"/>
      <c r="C20" s="7" t="s">
        <v>168</v>
      </c>
      <c r="D20" s="105"/>
      <c r="E20" s="104"/>
      <c r="F20" s="65" t="e">
        <f>IF(#REF!=0," ",(E20-#REF!)/#REF!)</f>
        <v>#REF!</v>
      </c>
      <c r="G20" s="35" t="str">
        <f>IF(D20=0," ",((E20-D20)/D20)/2)</f>
        <v> </v>
      </c>
      <c r="H20" s="491"/>
    </row>
    <row r="21" spans="1:8" ht="12.75">
      <c r="A21" s="12"/>
      <c r="B21" s="6"/>
      <c r="C21" s="7" t="s">
        <v>169</v>
      </c>
      <c r="D21" s="105"/>
      <c r="E21" s="104"/>
      <c r="F21" s="65" t="e">
        <f>IF(#REF!=0," ",(#REF!-#REF!)/#REF!)</f>
        <v>#REF!</v>
      </c>
      <c r="G21" s="35" t="e">
        <f>IF(#REF!=0," ",((#REF!-#REF!)/#REF!)/2)</f>
        <v>#REF!</v>
      </c>
      <c r="H21" s="492"/>
    </row>
    <row r="22" spans="1:8" ht="12.75">
      <c r="A22" s="12"/>
      <c r="B22" s="6"/>
      <c r="C22" s="7" t="s">
        <v>170</v>
      </c>
      <c r="D22" s="105">
        <v>10500</v>
      </c>
      <c r="E22" s="104">
        <v>10500</v>
      </c>
      <c r="F22" s="65" t="e">
        <f>IF(#REF!=0," ",(E22-#REF!)/#REF!)</f>
        <v>#REF!</v>
      </c>
      <c r="G22" s="35">
        <f aca="true" t="shared" si="0" ref="G22:G27">IF(D22=0," ",((E22-D22)/D22)/2)</f>
        <v>0</v>
      </c>
      <c r="H22" s="492"/>
    </row>
    <row r="23" spans="1:8" ht="12.75">
      <c r="A23" s="12"/>
      <c r="B23" s="6"/>
      <c r="C23" s="7" t="s">
        <v>171</v>
      </c>
      <c r="D23" s="105"/>
      <c r="E23" s="104"/>
      <c r="F23" s="65" t="e">
        <f>IF(#REF!=0," ",(E23-#REF!)/#REF!)</f>
        <v>#REF!</v>
      </c>
      <c r="G23" s="35" t="str">
        <f t="shared" si="0"/>
        <v> </v>
      </c>
      <c r="H23" s="492"/>
    </row>
    <row r="24" spans="1:8" ht="12.75">
      <c r="A24" s="12"/>
      <c r="B24" s="6"/>
      <c r="C24" s="7" t="s">
        <v>172</v>
      </c>
      <c r="D24" s="105"/>
      <c r="E24" s="104"/>
      <c r="F24" s="65" t="e">
        <f>IF(#REF!=0," ",(E24-#REF!)/#REF!)</f>
        <v>#REF!</v>
      </c>
      <c r="G24" s="35" t="str">
        <f t="shared" si="0"/>
        <v> </v>
      </c>
      <c r="H24" s="492"/>
    </row>
    <row r="25" spans="1:8" ht="12.75">
      <c r="A25" s="12"/>
      <c r="B25" s="6"/>
      <c r="C25" s="7" t="s">
        <v>32</v>
      </c>
      <c r="D25" s="105"/>
      <c r="E25" s="104"/>
      <c r="F25" s="65" t="e">
        <f>IF(#REF!=0," ",(E25-#REF!)/#REF!)</f>
        <v>#REF!</v>
      </c>
      <c r="G25" s="35" t="str">
        <f t="shared" si="0"/>
        <v> </v>
      </c>
      <c r="H25" s="492"/>
    </row>
    <row r="26" spans="1:8" ht="12.75">
      <c r="A26" s="12"/>
      <c r="B26" s="6"/>
      <c r="C26" s="7" t="s">
        <v>33</v>
      </c>
      <c r="D26" s="105"/>
      <c r="E26" s="104"/>
      <c r="F26" s="65" t="e">
        <f>IF(#REF!=0," ",(E26-#REF!)/#REF!)</f>
        <v>#REF!</v>
      </c>
      <c r="G26" s="35" t="str">
        <f t="shared" si="0"/>
        <v> </v>
      </c>
      <c r="H26" s="492"/>
    </row>
    <row r="27" spans="1:8" ht="12.75">
      <c r="A27" s="12"/>
      <c r="B27" s="6"/>
      <c r="C27" s="7" t="s">
        <v>34</v>
      </c>
      <c r="D27" s="105"/>
      <c r="E27" s="105"/>
      <c r="F27" s="65" t="e">
        <f>IF(#REF!=0," ",(E27-#REF!)/#REF!)</f>
        <v>#REF!</v>
      </c>
      <c r="G27" s="35" t="str">
        <f t="shared" si="0"/>
        <v> </v>
      </c>
      <c r="H27" s="492"/>
    </row>
    <row r="28" spans="1:8" ht="12.75">
      <c r="A28" s="12"/>
      <c r="B28" s="6"/>
      <c r="C28" s="149" t="s">
        <v>75</v>
      </c>
      <c r="D28" s="105"/>
      <c r="E28" s="105"/>
      <c r="F28" s="65"/>
      <c r="G28" s="35"/>
      <c r="H28" s="498"/>
    </row>
    <row r="29" spans="1:8" ht="12.75">
      <c r="A29" s="12"/>
      <c r="B29" s="89" t="s">
        <v>35</v>
      </c>
      <c r="C29" s="93"/>
      <c r="D29" s="91"/>
      <c r="E29" s="91"/>
      <c r="F29" s="101"/>
      <c r="G29" s="92"/>
      <c r="H29" s="92"/>
    </row>
    <row r="30" spans="1:8" ht="12.75">
      <c r="A30" s="12" t="s">
        <v>216</v>
      </c>
      <c r="B30" s="6"/>
      <c r="C30" s="8" t="s">
        <v>36</v>
      </c>
      <c r="D30" s="105">
        <v>221280</v>
      </c>
      <c r="E30" s="104">
        <v>302182</v>
      </c>
      <c r="F30" s="65" t="e">
        <f>IF(#REF!=0," ",(E30-#REF!)/#REF!)</f>
        <v>#REF!</v>
      </c>
      <c r="G30" s="35">
        <f>IF(D30=0," ",((E30-D30)/D30)/2)</f>
        <v>0.18280459146782357</v>
      </c>
      <c r="H30" s="491"/>
    </row>
    <row r="31" spans="1:8" ht="12.75">
      <c r="A31" s="12"/>
      <c r="B31" s="6"/>
      <c r="C31" s="8" t="s">
        <v>37</v>
      </c>
      <c r="D31" s="105"/>
      <c r="E31" s="104"/>
      <c r="F31" s="65" t="e">
        <f>IF(#REF!=0," ",(E31-#REF!)/#REF!)</f>
        <v>#REF!</v>
      </c>
      <c r="G31" s="35" t="str">
        <f>IF(D31=0," ",((E31-D31)/D31)/2)</f>
        <v> </v>
      </c>
      <c r="H31" s="492"/>
    </row>
    <row r="32" spans="1:8" ht="12.75">
      <c r="A32" s="12"/>
      <c r="B32" s="6"/>
      <c r="C32" s="8" t="s">
        <v>38</v>
      </c>
      <c r="D32" s="105"/>
      <c r="E32" s="104"/>
      <c r="F32" s="65" t="e">
        <f>IF(#REF!=0," ",(E32-#REF!)/#REF!)</f>
        <v>#REF!</v>
      </c>
      <c r="G32" s="35" t="str">
        <f>IF(D32=0," ",((E32-D32)/D32)/2)</f>
        <v> </v>
      </c>
      <c r="H32" s="492"/>
    </row>
    <row r="33" spans="1:8" ht="12.75">
      <c r="A33" s="12"/>
      <c r="B33" s="6"/>
      <c r="C33" s="8" t="s">
        <v>153</v>
      </c>
      <c r="D33" s="105"/>
      <c r="E33" s="104"/>
      <c r="F33" s="65" t="e">
        <f>IF(#REF!=0," ",(E33-#REF!)/#REF!)</f>
        <v>#REF!</v>
      </c>
      <c r="G33" s="35" t="str">
        <f>IF(D33=0," ",((E33-D33)/D33)/2)</f>
        <v> </v>
      </c>
      <c r="H33" s="492"/>
    </row>
    <row r="34" spans="1:8" ht="12.75">
      <c r="A34" s="12"/>
      <c r="B34" s="6"/>
      <c r="C34" s="8" t="s">
        <v>100</v>
      </c>
      <c r="D34" s="105"/>
      <c r="E34" s="104"/>
      <c r="F34" s="65" t="e">
        <f>IF(#REF!=0," ",(E34-#REF!)/#REF!)</f>
        <v>#REF!</v>
      </c>
      <c r="G34" s="35" t="str">
        <f>IF(D34=0," ",((E34-D34)/D34)/2)</f>
        <v> </v>
      </c>
      <c r="H34" s="492"/>
    </row>
    <row r="35" spans="1:8" ht="12.75">
      <c r="A35" s="12"/>
      <c r="B35" s="6"/>
      <c r="C35" s="149" t="s">
        <v>75</v>
      </c>
      <c r="D35" s="105"/>
      <c r="E35" s="104"/>
      <c r="F35" s="65"/>
      <c r="G35" s="35"/>
      <c r="H35" s="493"/>
    </row>
    <row r="36" spans="1:8" ht="12.75">
      <c r="A36" s="12"/>
      <c r="B36" s="89" t="s">
        <v>101</v>
      </c>
      <c r="C36" s="90"/>
      <c r="D36" s="91"/>
      <c r="E36" s="194"/>
      <c r="F36" s="101"/>
      <c r="G36" s="92"/>
      <c r="H36" s="92"/>
    </row>
    <row r="37" spans="1:8" ht="12.75">
      <c r="A37" s="12"/>
      <c r="B37" s="6"/>
      <c r="C37" s="7" t="s">
        <v>102</v>
      </c>
      <c r="D37" s="105"/>
      <c r="E37" s="104"/>
      <c r="F37" s="65" t="e">
        <f>IF(#REF!=0," ",(E37-#REF!)/#REF!)</f>
        <v>#REF!</v>
      </c>
      <c r="G37" s="35" t="str">
        <f aca="true" t="shared" si="1" ref="G37:G44">IF(D37=0," ",((E37-D37)/D37)/2)</f>
        <v> </v>
      </c>
      <c r="H37" s="491"/>
    </row>
    <row r="38" spans="1:8" ht="12.75">
      <c r="A38" s="12"/>
      <c r="B38" s="6"/>
      <c r="C38" s="7" t="s">
        <v>103</v>
      </c>
      <c r="E38" s="104"/>
      <c r="F38" s="65" t="e">
        <f>IF(#REF!=0," ",(E38-#REF!)/#REF!)</f>
        <v>#REF!</v>
      </c>
      <c r="G38" s="35">
        <f>IF(D39=0," ",((E38-D39)/D39)/2)</f>
        <v>-0.5</v>
      </c>
      <c r="H38" s="492"/>
    </row>
    <row r="39" spans="1:8" ht="12.75">
      <c r="A39" s="12"/>
      <c r="B39" s="6"/>
      <c r="C39" s="7" t="s">
        <v>104</v>
      </c>
      <c r="D39" s="105">
        <v>125298</v>
      </c>
      <c r="E39" s="105">
        <v>140000</v>
      </c>
      <c r="F39" s="65" t="e">
        <f>IF(#REF!=0," ",(E39-#REF!)/#REF!)</f>
        <v>#REF!</v>
      </c>
      <c r="G39" s="35" t="e">
        <f>IF(#REF!=0," ",((E39-#REF!)/#REF!)/2)</f>
        <v>#REF!</v>
      </c>
      <c r="H39" s="492"/>
    </row>
    <row r="40" spans="1:8" ht="12.75">
      <c r="A40" s="12"/>
      <c r="B40" s="6"/>
      <c r="C40" s="7" t="s">
        <v>105</v>
      </c>
      <c r="D40" s="105"/>
      <c r="E40" s="105"/>
      <c r="F40" s="65" t="e">
        <f>IF(#REF!=0," ",(E40-#REF!)/#REF!)</f>
        <v>#REF!</v>
      </c>
      <c r="G40" s="35" t="str">
        <f t="shared" si="1"/>
        <v> </v>
      </c>
      <c r="H40" s="492"/>
    </row>
    <row r="41" spans="1:8" ht="12.75">
      <c r="A41" s="12"/>
      <c r="B41" s="6"/>
      <c r="C41" s="7" t="s">
        <v>106</v>
      </c>
      <c r="D41" s="105"/>
      <c r="E41" s="105"/>
      <c r="F41" s="65" t="e">
        <f>IF(#REF!=0," ",(E41-#REF!)/#REF!)</f>
        <v>#REF!</v>
      </c>
      <c r="G41" s="35" t="str">
        <f t="shared" si="1"/>
        <v> </v>
      </c>
      <c r="H41" s="492"/>
    </row>
    <row r="42" spans="1:8" ht="12.75">
      <c r="A42" s="12"/>
      <c r="B42" s="6"/>
      <c r="C42" s="7" t="s">
        <v>107</v>
      </c>
      <c r="D42" s="105"/>
      <c r="E42" s="105"/>
      <c r="F42" s="65" t="e">
        <f>IF(#REF!=0," ",(E42-#REF!)/#REF!)</f>
        <v>#REF!</v>
      </c>
      <c r="G42" s="35" t="str">
        <f t="shared" si="1"/>
        <v> </v>
      </c>
      <c r="H42" s="492"/>
    </row>
    <row r="43" spans="1:8" ht="12.75">
      <c r="A43" s="12"/>
      <c r="B43" s="6"/>
      <c r="C43" s="7" t="s">
        <v>108</v>
      </c>
      <c r="D43" s="105"/>
      <c r="E43" s="105"/>
      <c r="F43" s="65" t="e">
        <f>IF(#REF!=0," ",(E43-#REF!)/#REF!)</f>
        <v>#REF!</v>
      </c>
      <c r="G43" s="35" t="str">
        <f t="shared" si="1"/>
        <v> </v>
      </c>
      <c r="H43" s="492"/>
    </row>
    <row r="44" spans="1:8" ht="12.75">
      <c r="A44" s="12"/>
      <c r="B44" s="6"/>
      <c r="C44" s="7" t="s">
        <v>109</v>
      </c>
      <c r="D44" s="105"/>
      <c r="E44" s="105"/>
      <c r="F44" s="65" t="e">
        <f>IF(#REF!=0," ",(E44-#REF!)/#REF!)</f>
        <v>#REF!</v>
      </c>
      <c r="G44" s="35" t="str">
        <f t="shared" si="1"/>
        <v> </v>
      </c>
      <c r="H44" s="492"/>
    </row>
    <row r="45" spans="1:8" ht="12.75">
      <c r="A45" s="12"/>
      <c r="B45" s="6"/>
      <c r="C45" s="149" t="s">
        <v>75</v>
      </c>
      <c r="D45" s="105"/>
      <c r="E45" s="105"/>
      <c r="F45" s="65"/>
      <c r="G45" s="35"/>
      <c r="H45" s="493"/>
    </row>
    <row r="46" spans="1:8" ht="12.75">
      <c r="A46" s="12"/>
      <c r="B46" s="89" t="s">
        <v>110</v>
      </c>
      <c r="C46" s="90"/>
      <c r="D46" s="91"/>
      <c r="E46" s="91"/>
      <c r="F46" s="101"/>
      <c r="G46" s="92"/>
      <c r="H46" s="92"/>
    </row>
    <row r="47" spans="1:8" ht="12.75">
      <c r="A47" s="12"/>
      <c r="B47" s="6"/>
      <c r="C47" s="7" t="s">
        <v>111</v>
      </c>
      <c r="D47" s="105">
        <v>136579</v>
      </c>
      <c r="E47" s="104">
        <v>183085</v>
      </c>
      <c r="F47" s="65" t="e">
        <f>IF(#REF!=0," ",(E47-#REF!)/#REF!)</f>
        <v>#REF!</v>
      </c>
      <c r="G47" s="35">
        <f>IF(D47=0," ",((E47-D47)/D47)/2)</f>
        <v>0.1702531135826152</v>
      </c>
      <c r="H47" s="491"/>
    </row>
    <row r="48" spans="1:8" ht="12.75">
      <c r="A48" s="12"/>
      <c r="B48" s="6"/>
      <c r="C48" s="149" t="s">
        <v>75</v>
      </c>
      <c r="D48" s="105"/>
      <c r="E48" s="105"/>
      <c r="F48" s="65"/>
      <c r="G48" s="35"/>
      <c r="H48" s="493"/>
    </row>
    <row r="49" spans="1:8" ht="12.75">
      <c r="A49" s="12"/>
      <c r="B49" s="89" t="s">
        <v>112</v>
      </c>
      <c r="C49" s="90"/>
      <c r="D49" s="91"/>
      <c r="E49" s="91"/>
      <c r="F49" s="101"/>
      <c r="G49" s="92"/>
      <c r="H49" s="92"/>
    </row>
    <row r="50" spans="1:8" ht="12.75">
      <c r="A50" s="12"/>
      <c r="B50" s="6"/>
      <c r="C50" s="10" t="s">
        <v>113</v>
      </c>
      <c r="D50" s="105"/>
      <c r="E50" s="105"/>
      <c r="F50" s="65" t="e">
        <f>IF(#REF!=0," ",(E50-#REF!)/#REF!)</f>
        <v>#REF!</v>
      </c>
      <c r="G50" s="35" t="str">
        <f>IF(D50=0," ",((E50-D50)/D50)/2)</f>
        <v> </v>
      </c>
      <c r="H50" s="491"/>
    </row>
    <row r="51" spans="1:8" ht="12.75">
      <c r="A51" s="12"/>
      <c r="B51" s="6"/>
      <c r="C51" s="7" t="s">
        <v>114</v>
      </c>
      <c r="D51" s="105"/>
      <c r="E51" s="105"/>
      <c r="F51" s="65" t="e">
        <f>IF(#REF!=0," ",(E51-#REF!)/#REF!)</f>
        <v>#REF!</v>
      </c>
      <c r="G51" s="35" t="str">
        <f>IF(D51=0," ",((E51-D51)/D51)/2)</f>
        <v> </v>
      </c>
      <c r="H51" s="492"/>
    </row>
    <row r="52" spans="1:8" ht="12.75">
      <c r="A52" s="12"/>
      <c r="B52" s="6"/>
      <c r="C52" s="7" t="s">
        <v>115</v>
      </c>
      <c r="D52" s="105"/>
      <c r="E52" s="105"/>
      <c r="F52" s="65" t="e">
        <f>IF(#REF!=0," ",(E52-#REF!)/#REF!)</f>
        <v>#REF!</v>
      </c>
      <c r="G52" s="35" t="str">
        <f>IF(D52=0," ",((E52-D52)/D52)/2)</f>
        <v> </v>
      </c>
      <c r="H52" s="492"/>
    </row>
    <row r="53" spans="1:8" ht="12.75">
      <c r="A53" s="12"/>
      <c r="B53" s="6"/>
      <c r="C53" s="7" t="s">
        <v>116</v>
      </c>
      <c r="D53" s="105">
        <v>261348</v>
      </c>
      <c r="E53" s="105">
        <v>240000</v>
      </c>
      <c r="F53" s="65" t="e">
        <f>IF(#REF!=0," ",(E53-#REF!)/#REF!)</f>
        <v>#REF!</v>
      </c>
      <c r="G53" s="35">
        <f>IF(D53=0," ",((E53-D53)/D53)/2)</f>
        <v>-0.0408420955966757</v>
      </c>
      <c r="H53" s="492"/>
    </row>
    <row r="54" spans="1:8" ht="12.75">
      <c r="A54" s="12"/>
      <c r="B54" s="6"/>
      <c r="C54" s="7" t="s">
        <v>117</v>
      </c>
      <c r="D54" s="105"/>
      <c r="E54" s="105"/>
      <c r="F54" s="65" t="e">
        <f>IF(#REF!=0," ",(E54-#REF!)/#REF!)</f>
        <v>#REF!</v>
      </c>
      <c r="G54" s="35" t="str">
        <f>IF(D54=0," ",((E54-D54)/D54)/2)</f>
        <v> </v>
      </c>
      <c r="H54" s="492"/>
    </row>
    <row r="55" spans="1:8" ht="12.75">
      <c r="A55" s="12"/>
      <c r="B55" s="6"/>
      <c r="C55" s="149" t="s">
        <v>75</v>
      </c>
      <c r="D55" s="105"/>
      <c r="E55" s="105"/>
      <c r="F55" s="65"/>
      <c r="G55" s="35"/>
      <c r="H55" s="493"/>
    </row>
    <row r="56" spans="1:8" ht="12.75">
      <c r="A56" s="12"/>
      <c r="B56" s="89" t="s">
        <v>118</v>
      </c>
      <c r="C56" s="90"/>
      <c r="D56" s="91"/>
      <c r="E56" s="91"/>
      <c r="F56" s="101"/>
      <c r="G56" s="92"/>
      <c r="H56" s="92"/>
    </row>
    <row r="57" spans="1:8" ht="12.75">
      <c r="A57" s="12"/>
      <c r="B57" s="6"/>
      <c r="C57" s="7" t="s">
        <v>119</v>
      </c>
      <c r="D57" s="105"/>
      <c r="E57" s="105"/>
      <c r="F57" s="65" t="e">
        <f>IF(#REF!=0," ",(E57-#REF!)/#REF!)</f>
        <v>#REF!</v>
      </c>
      <c r="G57" s="35" t="str">
        <f>IF(D57=0," ",((E57-D57)/D57)/2)</f>
        <v> </v>
      </c>
      <c r="H57" s="491"/>
    </row>
    <row r="58" spans="1:8" ht="12.75">
      <c r="A58" s="12"/>
      <c r="B58" s="6"/>
      <c r="C58" s="7" t="s">
        <v>120</v>
      </c>
      <c r="D58" s="105"/>
      <c r="E58" s="105"/>
      <c r="F58" s="65" t="e">
        <f>IF(#REF!=0," ",(E58-#REF!)/#REF!)</f>
        <v>#REF!</v>
      </c>
      <c r="G58" s="35" t="str">
        <f>IF(D58=0," ",((E58-D58)/D58)/2)</f>
        <v> </v>
      </c>
      <c r="H58" s="492"/>
    </row>
    <row r="59" spans="1:8" ht="12.75">
      <c r="A59" s="12"/>
      <c r="B59" s="6"/>
      <c r="C59" s="7" t="s">
        <v>121</v>
      </c>
      <c r="D59" s="105"/>
      <c r="E59" s="105"/>
      <c r="F59" s="65" t="e">
        <f>IF(#REF!=0," ",(E59-#REF!)/#REF!)</f>
        <v>#REF!</v>
      </c>
      <c r="G59" s="35" t="str">
        <f>IF(D59=0," ",((E59-D59)/D59)/2)</f>
        <v> </v>
      </c>
      <c r="H59" s="492"/>
    </row>
    <row r="60" spans="1:8" ht="12.75">
      <c r="A60" s="12"/>
      <c r="B60" s="6"/>
      <c r="C60" s="7" t="s">
        <v>122</v>
      </c>
      <c r="D60" s="105"/>
      <c r="E60" s="105"/>
      <c r="F60" s="65" t="e">
        <f>IF(#REF!=0," ",(E60-#REF!)/#REF!)</f>
        <v>#REF!</v>
      </c>
      <c r="G60" s="35" t="str">
        <f>IF(D60=0," ",((E60-D60)/D60)/2)</f>
        <v> </v>
      </c>
      <c r="H60" s="492"/>
    </row>
    <row r="61" spans="1:8" ht="12.75">
      <c r="A61" s="12"/>
      <c r="B61" s="6"/>
      <c r="C61" s="149" t="s">
        <v>75</v>
      </c>
      <c r="D61" s="105"/>
      <c r="E61" s="105"/>
      <c r="F61" s="65"/>
      <c r="G61" s="35"/>
      <c r="H61" s="493"/>
    </row>
    <row r="62" spans="1:8" ht="12.75">
      <c r="A62" s="12"/>
      <c r="B62" s="89" t="s">
        <v>123</v>
      </c>
      <c r="C62" s="90"/>
      <c r="D62" s="91"/>
      <c r="E62" s="91"/>
      <c r="F62" s="101"/>
      <c r="G62" s="92"/>
      <c r="H62" s="92"/>
    </row>
    <row r="63" spans="1:8" ht="12.75">
      <c r="A63" s="12"/>
      <c r="B63" s="6"/>
      <c r="C63" s="10" t="s">
        <v>124</v>
      </c>
      <c r="D63" s="105"/>
      <c r="E63" s="105"/>
      <c r="F63" s="65" t="e">
        <f>IF(#REF!=0," ",(E63-#REF!)/#REF!)</f>
        <v>#REF!</v>
      </c>
      <c r="G63" s="35" t="str">
        <f>IF(D63=0," ",((E63-D63)/D63)/2)</f>
        <v> </v>
      </c>
      <c r="H63" s="491"/>
    </row>
    <row r="64" spans="1:8" ht="12.75">
      <c r="A64" s="12"/>
      <c r="B64" s="6"/>
      <c r="C64" s="10" t="s">
        <v>125</v>
      </c>
      <c r="D64" s="105"/>
      <c r="E64" s="105"/>
      <c r="F64" s="65" t="e">
        <f>IF(#REF!=0," ",(E64-#REF!)/#REF!)</f>
        <v>#REF!</v>
      </c>
      <c r="G64" s="35" t="str">
        <f>IF(D64=0," ",((E64-D64)/D64)/2)</f>
        <v> </v>
      </c>
      <c r="H64" s="492"/>
    </row>
    <row r="65" spans="1:8" ht="12.75">
      <c r="A65" s="12"/>
      <c r="B65" s="6"/>
      <c r="C65" s="10" t="s">
        <v>126</v>
      </c>
      <c r="D65" s="105">
        <v>923</v>
      </c>
      <c r="E65" s="104">
        <v>1000</v>
      </c>
      <c r="F65" s="65" t="e">
        <f>IF(#REF!=0," ",(E65-#REF!)/#REF!)</f>
        <v>#REF!</v>
      </c>
      <c r="G65" s="35">
        <f>IF(D65=0," ",((E65-D65)/D65)/2)</f>
        <v>0.04171180931744312</v>
      </c>
      <c r="H65" s="492"/>
    </row>
    <row r="66" spans="1:8" ht="12.75">
      <c r="A66" s="12"/>
      <c r="B66" s="6"/>
      <c r="C66" s="10" t="s">
        <v>127</v>
      </c>
      <c r="D66" s="105"/>
      <c r="E66" s="104"/>
      <c r="F66" s="65" t="e">
        <f>IF(#REF!=0," ",(E66-#REF!)/#REF!)</f>
        <v>#REF!</v>
      </c>
      <c r="G66" s="35" t="str">
        <f>IF(D66=0," ",((E66-D66)/D66)/2)</f>
        <v> </v>
      </c>
      <c r="H66" s="492"/>
    </row>
    <row r="67" spans="1:8" ht="12.75">
      <c r="A67" s="12"/>
      <c r="B67" s="6"/>
      <c r="C67" s="10" t="s">
        <v>128</v>
      </c>
      <c r="D67" s="105"/>
      <c r="E67" s="104"/>
      <c r="F67" s="65" t="e">
        <f>IF(#REF!=0," ",(E67-#REF!)/#REF!)</f>
        <v>#REF!</v>
      </c>
      <c r="G67" s="35" t="str">
        <f>IF(D67=0," ",((E67-D67)/D67)/2)</f>
        <v> </v>
      </c>
      <c r="H67" s="492"/>
    </row>
    <row r="68" spans="1:8" ht="12.75">
      <c r="A68" s="12"/>
      <c r="B68" s="6"/>
      <c r="C68" s="149" t="s">
        <v>75</v>
      </c>
      <c r="D68" s="105"/>
      <c r="E68" s="104"/>
      <c r="F68" s="65"/>
      <c r="G68" s="35"/>
      <c r="H68" s="493"/>
    </row>
    <row r="69" spans="1:8" ht="12.75">
      <c r="A69" s="12"/>
      <c r="B69" s="89" t="s">
        <v>129</v>
      </c>
      <c r="C69" s="90"/>
      <c r="D69" s="91"/>
      <c r="E69" s="194"/>
      <c r="F69" s="101"/>
      <c r="G69" s="92"/>
      <c r="H69" s="92"/>
    </row>
    <row r="70" spans="1:8" ht="12.75">
      <c r="A70" s="12"/>
      <c r="B70" s="6"/>
      <c r="C70" s="10" t="s">
        <v>130</v>
      </c>
      <c r="D70" s="105">
        <v>21937</v>
      </c>
      <c r="E70" s="104">
        <v>35000</v>
      </c>
      <c r="F70" s="65" t="e">
        <f>IF(#REF!=0," ",(E70-#REF!)/#REF!)</f>
        <v>#REF!</v>
      </c>
      <c r="G70" s="35">
        <f>IF(D70=0," ",((E70-D70)/D70)/2)</f>
        <v>0.29773897980580755</v>
      </c>
      <c r="H70" s="491"/>
    </row>
    <row r="71" spans="1:8" ht="12.75">
      <c r="A71" s="12"/>
      <c r="B71" s="6"/>
      <c r="C71" s="10" t="s">
        <v>131</v>
      </c>
      <c r="D71" s="105"/>
      <c r="E71" s="104"/>
      <c r="F71" s="65" t="e">
        <f>IF(#REF!=0," ",(E71-#REF!)/#REF!)</f>
        <v>#REF!</v>
      </c>
      <c r="G71" s="35" t="str">
        <f>IF(D71=0," ",((E71-D71)/D71)/2)</f>
        <v> </v>
      </c>
      <c r="H71" s="492"/>
    </row>
    <row r="72" spans="1:8" ht="12.75">
      <c r="A72" s="12"/>
      <c r="B72" s="6"/>
      <c r="C72" s="10" t="s">
        <v>117</v>
      </c>
      <c r="D72" s="105"/>
      <c r="E72" s="104"/>
      <c r="F72" s="65" t="e">
        <f>IF(#REF!=0," ",(E72-#REF!)/#REF!)</f>
        <v>#REF!</v>
      </c>
      <c r="G72" s="35" t="str">
        <f>IF(D72=0," ",((E72-D72)/D72)/2)</f>
        <v> </v>
      </c>
      <c r="H72" s="492"/>
    </row>
    <row r="73" spans="1:8" ht="12.75">
      <c r="A73" s="12"/>
      <c r="B73" s="6"/>
      <c r="C73" s="149" t="s">
        <v>75</v>
      </c>
      <c r="D73" s="105"/>
      <c r="E73" s="105"/>
      <c r="F73" s="65"/>
      <c r="G73" s="35"/>
      <c r="H73" s="493"/>
    </row>
    <row r="74" spans="1:8" ht="12.75">
      <c r="A74" s="12"/>
      <c r="B74" s="89" t="s">
        <v>132</v>
      </c>
      <c r="C74" s="90"/>
      <c r="D74" s="91"/>
      <c r="E74" s="91"/>
      <c r="F74" s="101"/>
      <c r="G74" s="92"/>
      <c r="H74" s="92"/>
    </row>
    <row r="75" spans="1:8" ht="12.75">
      <c r="A75" s="12"/>
      <c r="B75" s="6"/>
      <c r="C75" s="10" t="s">
        <v>133</v>
      </c>
      <c r="D75" s="105"/>
      <c r="E75" s="105"/>
      <c r="F75" s="65" t="e">
        <f>IF(#REF!=0," ",(E75-#REF!)/#REF!)</f>
        <v>#REF!</v>
      </c>
      <c r="G75" s="35" t="str">
        <f>IF(D75=0," ",((E75-D75)/D75)/2)</f>
        <v> </v>
      </c>
      <c r="H75" s="491"/>
    </row>
    <row r="76" spans="1:8" ht="12.75">
      <c r="A76" s="12"/>
      <c r="B76" s="6"/>
      <c r="C76" s="10" t="s">
        <v>134</v>
      </c>
      <c r="D76" s="105"/>
      <c r="E76" s="105"/>
      <c r="F76" s="65" t="e">
        <f>IF(#REF!=0," ",(E76-#REF!)/#REF!)</f>
        <v>#REF!</v>
      </c>
      <c r="G76" s="35" t="str">
        <f>IF(D76=0," ",((E76-D76)/D76)/2)</f>
        <v> </v>
      </c>
      <c r="H76" s="492"/>
    </row>
    <row r="77" spans="1:8" ht="12.75">
      <c r="A77" s="12"/>
      <c r="B77" s="6"/>
      <c r="C77" s="149" t="s">
        <v>75</v>
      </c>
      <c r="D77" s="105"/>
      <c r="E77" s="105"/>
      <c r="F77" s="65"/>
      <c r="G77" s="35"/>
      <c r="H77" s="493"/>
    </row>
    <row r="78" spans="1:8" ht="12.75">
      <c r="A78" s="12"/>
      <c r="B78" s="89" t="s">
        <v>135</v>
      </c>
      <c r="C78" s="90"/>
      <c r="D78" s="91"/>
      <c r="E78" s="91"/>
      <c r="F78" s="101"/>
      <c r="G78" s="92"/>
      <c r="H78" s="92"/>
    </row>
    <row r="79" spans="1:8" ht="12.75">
      <c r="A79" s="12"/>
      <c r="B79" s="6"/>
      <c r="C79" s="7" t="s">
        <v>136</v>
      </c>
      <c r="D79" s="105"/>
      <c r="E79" s="105"/>
      <c r="F79" s="65" t="e">
        <f>IF(#REF!=0," ",(E79-#REF!)/#REF!)</f>
        <v>#REF!</v>
      </c>
      <c r="G79" s="35" t="str">
        <f>IF(D79=0," ",((E79-D79)/D79)/2)</f>
        <v> </v>
      </c>
      <c r="H79" s="491"/>
    </row>
    <row r="80" spans="1:8" ht="12.75">
      <c r="A80" s="12"/>
      <c r="B80" s="6"/>
      <c r="C80" s="7" t="s">
        <v>117</v>
      </c>
      <c r="D80" s="105"/>
      <c r="E80" s="105"/>
      <c r="F80" s="65" t="e">
        <f>IF(#REF!=0," ",(E80-#REF!)/#REF!)</f>
        <v>#REF!</v>
      </c>
      <c r="G80" s="35" t="str">
        <f>IF(D80=0," ",((E80-D80)/D80)/2)</f>
        <v> </v>
      </c>
      <c r="H80" s="492"/>
    </row>
    <row r="81" spans="1:8" ht="12.75">
      <c r="A81" s="12"/>
      <c r="B81" s="6"/>
      <c r="C81" s="149" t="s">
        <v>75</v>
      </c>
      <c r="D81" s="105"/>
      <c r="E81" s="105"/>
      <c r="F81" s="65"/>
      <c r="G81" s="35"/>
      <c r="H81" s="493"/>
    </row>
    <row r="82" spans="1:8" ht="12.75">
      <c r="A82" s="12"/>
      <c r="B82" s="89" t="s">
        <v>137</v>
      </c>
      <c r="C82" s="90"/>
      <c r="D82" s="91"/>
      <c r="E82" s="91"/>
      <c r="F82" s="101"/>
      <c r="G82" s="92"/>
      <c r="H82" s="92"/>
    </row>
    <row r="83" spans="1:8" ht="12.75">
      <c r="A83" s="12"/>
      <c r="B83" s="6"/>
      <c r="C83" s="7" t="s">
        <v>138</v>
      </c>
      <c r="D83" s="105"/>
      <c r="E83" s="105"/>
      <c r="F83" s="65" t="e">
        <f>IF(#REF!=0," ",(E83-#REF!)/#REF!)</f>
        <v>#REF!</v>
      </c>
      <c r="G83" s="35" t="str">
        <f>IF(D83=0," ",((E83-D83)/D83)/2)</f>
        <v> </v>
      </c>
      <c r="H83" s="491"/>
    </row>
    <row r="84" spans="1:8" ht="12.75">
      <c r="A84" s="12"/>
      <c r="B84" s="6"/>
      <c r="C84" s="149" t="s">
        <v>75</v>
      </c>
      <c r="D84" s="105"/>
      <c r="E84" s="105"/>
      <c r="F84" s="65"/>
      <c r="G84" s="35"/>
      <c r="H84" s="493"/>
    </row>
    <row r="85" spans="1:8" ht="12.75">
      <c r="A85" s="12"/>
      <c r="B85" s="89" t="s">
        <v>139</v>
      </c>
      <c r="C85" s="90"/>
      <c r="D85" s="91"/>
      <c r="E85" s="91"/>
      <c r="F85" s="101"/>
      <c r="G85" s="92"/>
      <c r="H85" s="92"/>
    </row>
    <row r="86" spans="1:8" ht="12.75">
      <c r="A86" s="12"/>
      <c r="B86" s="6"/>
      <c r="C86" s="102"/>
      <c r="D86" s="105"/>
      <c r="E86" s="105"/>
      <c r="F86" s="65" t="e">
        <f>IF(#REF!=0," ",(E86-#REF!)/#REF!)</f>
        <v>#REF!</v>
      </c>
      <c r="G86" s="35" t="str">
        <f>IF(D86=0," ",((E86-D86)/D86)/2)</f>
        <v> </v>
      </c>
      <c r="H86" s="491"/>
    </row>
    <row r="87" spans="1:8" ht="12.75">
      <c r="A87" s="12"/>
      <c r="B87" s="6"/>
      <c r="C87" s="102" t="s">
        <v>217</v>
      </c>
      <c r="D87" s="105"/>
      <c r="E87" s="105"/>
      <c r="F87" s="65" t="e">
        <f>IF(#REF!=0," ",(E87-#REF!)/#REF!)</f>
        <v>#REF!</v>
      </c>
      <c r="G87" s="35" t="str">
        <f>IF(D87=0," ",((E87-D87)/D87)/2)</f>
        <v> </v>
      </c>
      <c r="H87" s="494"/>
    </row>
    <row r="88" spans="1:8" ht="12.75">
      <c r="A88" s="12"/>
      <c r="B88" s="19"/>
      <c r="C88" s="150" t="s">
        <v>141</v>
      </c>
      <c r="D88" s="103"/>
      <c r="E88" s="103"/>
      <c r="F88" s="64" t="e">
        <f>IF(#REF!=0," ",(E88-#REF!)/#REF!)</f>
        <v>#REF!</v>
      </c>
      <c r="G88" s="63" t="str">
        <f>IF(D88=0," ",((E88-D88)/D88)/2)</f>
        <v> </v>
      </c>
      <c r="H88" s="494"/>
    </row>
    <row r="89" spans="1:8" ht="13.5" thickBot="1">
      <c r="A89" s="158"/>
      <c r="B89" s="139"/>
      <c r="C89" s="152" t="s">
        <v>75</v>
      </c>
      <c r="D89" s="300"/>
      <c r="E89" s="301"/>
      <c r="F89" s="153"/>
      <c r="G89" s="154"/>
      <c r="H89" s="495"/>
    </row>
    <row r="90" spans="1:8" ht="14.25" thickBot="1" thickTop="1">
      <c r="A90" s="12"/>
      <c r="B90" s="19"/>
      <c r="C90" s="20" t="s">
        <v>90</v>
      </c>
      <c r="D90" s="119">
        <f>SUM(D12:D89)</f>
        <v>807792</v>
      </c>
      <c r="E90" s="68">
        <f>SUM(E12:E89)</f>
        <v>941767</v>
      </c>
      <c r="F90" s="302" t="e">
        <f>IF(#REF!=0," ",(E90-#REF!)/#REF!)</f>
        <v>#REF!</v>
      </c>
      <c r="G90" s="303">
        <f>IF(D90=0," ",((E90-D90)/D90)/2)</f>
        <v>0.08292666924158694</v>
      </c>
      <c r="H90" s="4"/>
    </row>
    <row r="91" spans="1:8" ht="13.5" thickTop="1">
      <c r="A91" s="12"/>
      <c r="B91" s="19"/>
      <c r="C91" s="20"/>
      <c r="D91" s="186"/>
      <c r="E91" s="69"/>
      <c r="F91" s="188"/>
      <c r="G91" s="189"/>
      <c r="H91" s="4"/>
    </row>
    <row r="92" spans="1:8" ht="17.25" customHeight="1" hidden="1">
      <c r="A92" s="12"/>
      <c r="B92" s="19"/>
      <c r="C92" s="181"/>
      <c r="D92" s="203"/>
      <c r="E92" s="77"/>
      <c r="F92" s="13"/>
      <c r="G92" s="4"/>
      <c r="H92" s="4"/>
    </row>
    <row r="93" spans="1:8" s="118" customFormat="1" ht="16.5" customHeight="1" hidden="1">
      <c r="A93" s="176"/>
      <c r="B93" s="201"/>
      <c r="C93" s="207"/>
      <c r="D93" s="204"/>
      <c r="E93" s="172"/>
      <c r="F93" s="173"/>
      <c r="G93" s="174"/>
      <c r="H93" s="175"/>
    </row>
    <row r="94" spans="1:8" ht="30.75" customHeight="1" hidden="1">
      <c r="A94" s="12"/>
      <c r="B94" s="202"/>
      <c r="C94" s="208"/>
      <c r="D94" s="205"/>
      <c r="E94" s="196"/>
      <c r="F94" s="13"/>
      <c r="G94" s="4"/>
      <c r="H94" s="21"/>
    </row>
    <row r="95" spans="1:8" ht="29.25" customHeight="1" hidden="1">
      <c r="A95" s="12"/>
      <c r="B95" s="200"/>
      <c r="C95" s="209"/>
      <c r="D95" s="206"/>
      <c r="E95" s="191"/>
      <c r="F95" s="197"/>
      <c r="G95" s="4"/>
      <c r="H95" s="21"/>
    </row>
    <row r="96" spans="1:8" s="118" customFormat="1" ht="14.25" customHeight="1">
      <c r="A96" s="176"/>
      <c r="B96" s="422"/>
      <c r="C96" s="308"/>
      <c r="D96" s="427"/>
      <c r="E96" s="428"/>
      <c r="F96" s="175"/>
      <c r="G96" s="427"/>
      <c r="H96" s="426"/>
    </row>
    <row r="97" spans="1:8" ht="15.75">
      <c r="A97" s="11" t="s">
        <v>88</v>
      </c>
      <c r="B97" s="32"/>
      <c r="C97" s="32"/>
      <c r="D97" s="15"/>
      <c r="E97" s="15"/>
      <c r="F97" s="16"/>
      <c r="G97" s="14"/>
      <c r="H97" s="14"/>
    </row>
    <row r="98" spans="1:8" ht="12.75">
      <c r="A98" s="12"/>
      <c r="B98" s="33" t="s">
        <v>144</v>
      </c>
      <c r="C98" s="2"/>
      <c r="D98" s="103">
        <v>289823</v>
      </c>
      <c r="E98" s="195">
        <v>233902</v>
      </c>
      <c r="F98" s="64" t="e">
        <f>IF(#REF!=0," ",(E98-#REF!)/#REF!)</f>
        <v>#REF!</v>
      </c>
      <c r="G98" s="63">
        <f aca="true" t="shared" si="2" ref="G98:G107">IF(D98=0," ",((E98-D98)/D98)/2)</f>
        <v>-0.09647439989234809</v>
      </c>
      <c r="H98" s="469"/>
    </row>
    <row r="99" spans="1:8" ht="12.75">
      <c r="A99" s="12"/>
      <c r="B99" s="17" t="s">
        <v>145</v>
      </c>
      <c r="C99" s="9"/>
      <c r="D99" s="105">
        <v>48401</v>
      </c>
      <c r="E99" s="104">
        <v>57643</v>
      </c>
      <c r="F99" s="65" t="e">
        <f>IF(#REF!=0," ",(E99-#REF!)/#REF!)</f>
        <v>#REF!</v>
      </c>
      <c r="G99" s="35">
        <f t="shared" si="2"/>
        <v>0.09547323402409041</v>
      </c>
      <c r="H99" s="470"/>
    </row>
    <row r="100" spans="1:8" ht="12.75">
      <c r="A100" s="12"/>
      <c r="B100" s="17" t="s">
        <v>146</v>
      </c>
      <c r="C100" s="9"/>
      <c r="D100" s="105">
        <v>43985</v>
      </c>
      <c r="E100" s="104">
        <v>8284</v>
      </c>
      <c r="F100" s="65" t="e">
        <f>IF(#REF!=0," ",(E100-#REF!)/#REF!)</f>
        <v>#REF!</v>
      </c>
      <c r="G100" s="35">
        <f t="shared" si="2"/>
        <v>-0.4058315334773218</v>
      </c>
      <c r="H100" s="470"/>
    </row>
    <row r="101" spans="1:8" ht="12.75">
      <c r="A101" s="12"/>
      <c r="B101" s="17" t="s">
        <v>26</v>
      </c>
      <c r="C101" s="9"/>
      <c r="D101" s="105">
        <v>154251</v>
      </c>
      <c r="E101" s="104">
        <v>116399</v>
      </c>
      <c r="F101" s="65" t="e">
        <f>IF(#REF!=0," ",(E101-#REF!)/#REF!)</f>
        <v>#REF!</v>
      </c>
      <c r="G101" s="35">
        <f t="shared" si="2"/>
        <v>-0.12269612514667652</v>
      </c>
      <c r="H101" s="470"/>
    </row>
    <row r="102" spans="1:8" ht="12.75">
      <c r="A102" s="12"/>
      <c r="B102" s="17" t="s">
        <v>27</v>
      </c>
      <c r="C102" s="9"/>
      <c r="D102" s="105">
        <v>11462</v>
      </c>
      <c r="E102" s="104">
        <v>14076</v>
      </c>
      <c r="F102" s="65" t="e">
        <f>IF(#REF!=0," ",(E102-#REF!)/#REF!)</f>
        <v>#REF!</v>
      </c>
      <c r="G102" s="35">
        <f t="shared" si="2"/>
        <v>0.11402896527656604</v>
      </c>
      <c r="H102" s="470"/>
    </row>
    <row r="103" spans="1:8" ht="12.75">
      <c r="A103" s="12"/>
      <c r="B103" s="17" t="s">
        <v>28</v>
      </c>
      <c r="C103" s="9"/>
      <c r="D103" s="105">
        <v>152711</v>
      </c>
      <c r="E103" s="104">
        <v>132438</v>
      </c>
      <c r="F103" s="65" t="e">
        <f>IF(#REF!=0," ",(E103-#REF!)/#REF!)</f>
        <v>#REF!</v>
      </c>
      <c r="G103" s="35">
        <f t="shared" si="2"/>
        <v>-0.06637701278886263</v>
      </c>
      <c r="H103" s="470"/>
    </row>
    <row r="104" spans="1:8" ht="12.75">
      <c r="A104" s="12"/>
      <c r="B104" s="17" t="s">
        <v>29</v>
      </c>
      <c r="C104" s="9"/>
      <c r="D104" s="105">
        <v>6466</v>
      </c>
      <c r="E104" s="104">
        <v>6200</v>
      </c>
      <c r="F104" s="65" t="e">
        <f>IF(#REF!=0," ",(E104-#REF!)/#REF!)</f>
        <v>#REF!</v>
      </c>
      <c r="G104" s="35">
        <f t="shared" si="2"/>
        <v>-0.020569130838230747</v>
      </c>
      <c r="H104" s="470"/>
    </row>
    <row r="105" spans="1:8" ht="12.75">
      <c r="A105" s="12"/>
      <c r="B105" s="17" t="s">
        <v>45</v>
      </c>
      <c r="C105" s="9"/>
      <c r="D105" s="104"/>
      <c r="E105" s="104"/>
      <c r="F105" s="65" t="e">
        <f>IF(#REF!=0," ",(E105-#REF!)/#REF!)</f>
        <v>#REF!</v>
      </c>
      <c r="G105" s="35" t="str">
        <f t="shared" si="2"/>
        <v> </v>
      </c>
      <c r="H105" s="470"/>
    </row>
    <row r="106" spans="1:8" ht="12.75">
      <c r="A106" s="12"/>
      <c r="B106" s="9"/>
      <c r="C106" s="299" t="s">
        <v>82</v>
      </c>
      <c r="D106" s="104">
        <v>0</v>
      </c>
      <c r="E106" s="104"/>
      <c r="F106" s="65" t="e">
        <f>IF(#REF!=0," ",(E106-#REF!)/#REF!)</f>
        <v>#REF!</v>
      </c>
      <c r="G106" s="35" t="str">
        <f t="shared" si="2"/>
        <v> </v>
      </c>
      <c r="H106" s="470"/>
    </row>
    <row r="107" spans="1:8" ht="12.75">
      <c r="A107" s="12"/>
      <c r="B107" s="9"/>
      <c r="C107" s="18" t="s">
        <v>52</v>
      </c>
      <c r="D107" s="104"/>
      <c r="E107" s="104"/>
      <c r="F107" s="65" t="e">
        <f>IF(#REF!=0," ",(E107-#REF!)/#REF!)</f>
        <v>#REF!</v>
      </c>
      <c r="G107" s="35" t="str">
        <f t="shared" si="2"/>
        <v> </v>
      </c>
      <c r="H107" s="470"/>
    </row>
    <row r="108" spans="1:8" ht="12.75">
      <c r="A108" s="12"/>
      <c r="B108" s="9"/>
      <c r="C108" s="18" t="s">
        <v>186</v>
      </c>
      <c r="D108" s="104">
        <v>0</v>
      </c>
      <c r="E108" s="104">
        <v>105801</v>
      </c>
      <c r="F108" s="65"/>
      <c r="G108" s="35"/>
      <c r="H108" s="470"/>
    </row>
    <row r="109" spans="1:8" ht="12.75">
      <c r="A109" s="12"/>
      <c r="B109" s="9"/>
      <c r="C109" s="18" t="s">
        <v>117</v>
      </c>
      <c r="D109" s="104"/>
      <c r="E109" s="472"/>
      <c r="F109" s="65" t="e">
        <f>IF(#REF!=0," ",(E108-#REF!)/#REF!)</f>
        <v>#REF!</v>
      </c>
      <c r="G109" s="35" t="str">
        <f>IF(D109=0," ",((E108-D109)/D109)/2)</f>
        <v> </v>
      </c>
      <c r="H109" s="470"/>
    </row>
    <row r="110" spans="1:8" ht="12.75">
      <c r="A110" s="12"/>
      <c r="B110" s="17" t="s">
        <v>46</v>
      </c>
      <c r="C110" s="9"/>
      <c r="D110" s="104"/>
      <c r="E110" s="104"/>
      <c r="F110" s="65" t="e">
        <f>IF(#REF!=0," ",(E110-#REF!)/#REF!)</f>
        <v>#REF!</v>
      </c>
      <c r="G110" s="35" t="str">
        <f>IF(D110=0," ",((E110-D110)/D110)/2)</f>
        <v> </v>
      </c>
      <c r="H110" s="470"/>
    </row>
    <row r="111" spans="1:8" ht="12.75">
      <c r="A111" s="12"/>
      <c r="B111" s="17"/>
      <c r="C111" s="9" t="s">
        <v>117</v>
      </c>
      <c r="D111" s="104">
        <v>13237</v>
      </c>
      <c r="E111" s="104">
        <v>14549</v>
      </c>
      <c r="F111" s="65"/>
      <c r="G111" s="35"/>
      <c r="H111" s="470"/>
    </row>
    <row r="112" spans="1:8" ht="12.75">
      <c r="A112" s="12"/>
      <c r="B112" s="17"/>
      <c r="C112" s="9" t="s">
        <v>218</v>
      </c>
      <c r="D112" s="104">
        <f>2*52370</f>
        <v>104740</v>
      </c>
      <c r="E112" s="104">
        <v>86088</v>
      </c>
      <c r="F112" s="65"/>
      <c r="G112" s="35"/>
      <c r="H112" s="470"/>
    </row>
    <row r="113" spans="1:8" ht="12.75">
      <c r="A113" s="12"/>
      <c r="B113" s="17" t="s">
        <v>47</v>
      </c>
      <c r="C113" s="9"/>
      <c r="D113" s="104"/>
      <c r="E113" s="104">
        <v>22292</v>
      </c>
      <c r="F113" s="65" t="e">
        <f>IF(#REF!=0," ",(E113-#REF!)/#REF!)</f>
        <v>#REF!</v>
      </c>
      <c r="G113" s="35" t="str">
        <f aca="true" t="shared" si="3" ref="G113:G119">IF(D113=0," ",((E113-D113)/D113)/2)</f>
        <v> </v>
      </c>
      <c r="H113" s="470"/>
    </row>
    <row r="114" spans="1:8" ht="12.75">
      <c r="A114" s="12"/>
      <c r="B114" s="17" t="s">
        <v>48</v>
      </c>
      <c r="C114" s="9"/>
      <c r="D114" s="104">
        <v>113373</v>
      </c>
      <c r="E114" s="104">
        <v>75529</v>
      </c>
      <c r="F114" s="65" t="e">
        <f>IF(#REF!=0," ",(E114-#REF!)/#REF!)</f>
        <v>#REF!</v>
      </c>
      <c r="G114" s="35">
        <f t="shared" si="3"/>
        <v>-0.1669004083864765</v>
      </c>
      <c r="H114" s="470"/>
    </row>
    <row r="115" spans="1:8" ht="12.75">
      <c r="A115" s="12"/>
      <c r="B115" s="17" t="s">
        <v>49</v>
      </c>
      <c r="C115" s="9"/>
      <c r="D115" s="104">
        <v>7000</v>
      </c>
      <c r="E115" s="104">
        <v>4986</v>
      </c>
      <c r="F115" s="65" t="e">
        <f>IF(#REF!=0," ",(E115-#REF!)/#REF!)</f>
        <v>#REF!</v>
      </c>
      <c r="G115" s="35">
        <f t="shared" si="3"/>
        <v>-0.14385714285714285</v>
      </c>
      <c r="H115" s="470" t="s">
        <v>219</v>
      </c>
    </row>
    <row r="116" spans="1:8" ht="12.75">
      <c r="A116" s="12"/>
      <c r="B116" s="17" t="s">
        <v>50</v>
      </c>
      <c r="C116" s="9"/>
      <c r="D116" s="104"/>
      <c r="E116" s="104"/>
      <c r="F116" s="65" t="e">
        <f>IF(#REF!=0," ",(E116-#REF!)/#REF!)</f>
        <v>#REF!</v>
      </c>
      <c r="G116" s="35" t="str">
        <f t="shared" si="3"/>
        <v> </v>
      </c>
      <c r="H116" s="470"/>
    </row>
    <row r="117" spans="1:8" ht="12.75">
      <c r="A117" s="12"/>
      <c r="B117" s="129" t="s">
        <v>51</v>
      </c>
      <c r="C117" s="130"/>
      <c r="D117" s="131"/>
      <c r="E117" s="131">
        <v>73796</v>
      </c>
      <c r="F117" s="140" t="e">
        <f>IF(#REF!=0," ",(E117-#REF!)/#REF!)</f>
        <v>#REF!</v>
      </c>
      <c r="G117" s="141" t="str">
        <f t="shared" si="3"/>
        <v> </v>
      </c>
      <c r="H117" s="468" t="s">
        <v>220</v>
      </c>
    </row>
    <row r="118" spans="1:8" ht="24.75" customHeight="1" thickBot="1">
      <c r="A118" s="34"/>
      <c r="B118" s="483" t="s">
        <v>25</v>
      </c>
      <c r="C118" s="484"/>
      <c r="D118" s="190"/>
      <c r="E118" s="183"/>
      <c r="F118" s="184" t="e">
        <f>IF(#REF!=0," ",(E118-#REF!)/#REF!)</f>
        <v>#REF!</v>
      </c>
      <c r="G118" s="185" t="str">
        <f t="shared" si="3"/>
        <v> </v>
      </c>
      <c r="H118" s="471"/>
    </row>
    <row r="119" spans="1:8" ht="14.25" thickBot="1" thickTop="1">
      <c r="A119" s="12"/>
      <c r="B119" s="19"/>
      <c r="C119" s="20" t="s">
        <v>89</v>
      </c>
      <c r="D119" s="304">
        <f>SUM(D98:D118)</f>
        <v>945449</v>
      </c>
      <c r="E119" s="304">
        <f>SUM(E98:E118)</f>
        <v>951983</v>
      </c>
      <c r="F119" s="305" t="e">
        <f>IF(#REF!=0," ",(E119-#REF!)/#REF!)</f>
        <v>#REF!</v>
      </c>
      <c r="G119" s="305">
        <f t="shared" si="3"/>
        <v>0.0034555010370733905</v>
      </c>
      <c r="H119" s="21"/>
    </row>
    <row r="120" spans="1:8" ht="15" customHeight="1" thickTop="1">
      <c r="A120" s="12"/>
      <c r="B120" s="19"/>
      <c r="C120" s="20"/>
      <c r="D120" s="81"/>
      <c r="E120" s="179"/>
      <c r="F120" s="179"/>
      <c r="G120" s="179"/>
      <c r="H120" s="21"/>
    </row>
    <row r="121" spans="1:8" ht="8.25" customHeight="1">
      <c r="A121" s="34"/>
      <c r="B121" s="24"/>
      <c r="C121" s="23"/>
      <c r="D121" s="23"/>
      <c r="E121" s="23"/>
      <c r="F121" s="23"/>
      <c r="G121" s="23"/>
      <c r="H121" s="25"/>
    </row>
    <row r="122" ht="6.75" customHeight="1">
      <c r="D122" s="28"/>
    </row>
    <row r="123" spans="1:4" ht="15">
      <c r="A123" s="55" t="s">
        <v>194</v>
      </c>
      <c r="D123" s="2"/>
    </row>
    <row r="124" ht="12.75">
      <c r="D124" s="2"/>
    </row>
  </sheetData>
  <sheetProtection selectLockedCells="1"/>
  <mergeCells count="18">
    <mergeCell ref="A1:H1"/>
    <mergeCell ref="H86:H89"/>
    <mergeCell ref="H13:H18"/>
    <mergeCell ref="H20:H28"/>
    <mergeCell ref="H30:H35"/>
    <mergeCell ref="H79:H81"/>
    <mergeCell ref="H83:H84"/>
    <mergeCell ref="F8:F9"/>
    <mergeCell ref="G6:G9"/>
    <mergeCell ref="A3:H3"/>
    <mergeCell ref="B118:C118"/>
    <mergeCell ref="H63:H68"/>
    <mergeCell ref="H70:H73"/>
    <mergeCell ref="H37:H45"/>
    <mergeCell ref="H47:H48"/>
    <mergeCell ref="H50:H55"/>
    <mergeCell ref="H57:H61"/>
    <mergeCell ref="H75:H77"/>
  </mergeCells>
  <printOptions horizontalCentered="1"/>
  <pageMargins left="0.25" right="0.25" top="0.5" bottom="0.25" header="0.38" footer="0.32"/>
  <pageSetup cellComments="asDisplayed" fitToHeight="3" horizontalDpi="1200" verticalDpi="1200" orientation="portrait" scale="76" r:id="rId2"/>
  <rowBreaks count="1" manualBreakCount="1">
    <brk id="48" max="8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11"/>
  <sheetViews>
    <sheetView workbookViewId="0" topLeftCell="A1">
      <selection activeCell="E103" sqref="E103"/>
    </sheetView>
  </sheetViews>
  <sheetFormatPr defaultColWidth="9.00390625" defaultRowHeight="12.75"/>
  <cols>
    <col min="1" max="1" width="5.125" style="1" customWidth="1"/>
    <col min="2" max="2" width="7.125" style="3" customWidth="1"/>
    <col min="3" max="3" width="28.25390625" style="1" customWidth="1"/>
    <col min="4" max="4" width="15.75390625" style="210" customWidth="1"/>
    <col min="5" max="5" width="15.75390625" style="165" customWidth="1"/>
    <col min="6" max="6" width="4.25390625" style="1" hidden="1" customWidth="1"/>
    <col min="7" max="7" width="12.00390625" style="1" customWidth="1"/>
    <col min="8" max="16384" width="10.75390625" style="1" customWidth="1"/>
  </cols>
  <sheetData>
    <row r="1" spans="1:5" ht="21.75" customHeight="1">
      <c r="A1" s="116" t="s">
        <v>195</v>
      </c>
      <c r="E1" s="142"/>
    </row>
    <row r="2" spans="2:5" ht="18">
      <c r="B2" s="43"/>
      <c r="C2" s="112" t="s">
        <v>69</v>
      </c>
      <c r="D2" s="211" t="str">
        <f>'Pool Designation'!D7</f>
        <v>CTD (or Generic)</v>
      </c>
      <c r="E2" s="142"/>
    </row>
    <row r="3" spans="1:5" ht="18">
      <c r="A3" s="128" t="s">
        <v>71</v>
      </c>
      <c r="B3" s="127" t="s">
        <v>151</v>
      </c>
      <c r="C3" s="112"/>
      <c r="D3" s="211"/>
      <c r="E3" s="142"/>
    </row>
    <row r="4" spans="1:5" s="118" customFormat="1" ht="21.75" customHeight="1">
      <c r="A4" s="128" t="s">
        <v>71</v>
      </c>
      <c r="B4" s="419" t="s">
        <v>196</v>
      </c>
      <c r="C4" s="127"/>
      <c r="D4" s="212"/>
      <c r="E4" s="164"/>
    </row>
    <row r="5" spans="1:5" ht="52.5" customHeight="1">
      <c r="A5" s="26"/>
      <c r="B5" s="27"/>
      <c r="C5" s="28"/>
      <c r="D5" s="213" t="s">
        <v>86</v>
      </c>
      <c r="E5" s="504" t="s">
        <v>149</v>
      </c>
    </row>
    <row r="6" spans="1:5" ht="12.75" customHeight="1">
      <c r="A6" s="12"/>
      <c r="B6" s="19"/>
      <c r="C6" s="2"/>
      <c r="D6" s="442" t="e">
        <f>'Pool 1 Rev-Exp'!#REF!</f>
        <v>#REF!</v>
      </c>
      <c r="E6" s="505"/>
    </row>
    <row r="7" spans="1:5" ht="12.75" customHeight="1">
      <c r="A7" s="12"/>
      <c r="B7" s="19"/>
      <c r="C7" s="22" t="s">
        <v>76</v>
      </c>
      <c r="D7" s="214">
        <f>'Pool 1 Rev-Exp'!D7</f>
        <v>2005</v>
      </c>
      <c r="E7" s="505"/>
    </row>
    <row r="8" spans="1:5" ht="12.75" customHeight="1">
      <c r="A8" s="12"/>
      <c r="B8" s="19"/>
      <c r="C8" s="2"/>
      <c r="D8" s="443" t="e">
        <f>'Pool 1 Rev-Exp'!#REF!</f>
        <v>#REF!</v>
      </c>
      <c r="E8" s="505"/>
    </row>
    <row r="9" spans="1:5" ht="12.75" customHeight="1">
      <c r="A9" s="12"/>
      <c r="B9" s="19"/>
      <c r="C9" s="22" t="s">
        <v>76</v>
      </c>
      <c r="D9" s="214">
        <f>'Pool 1 Rev-Exp'!D9</f>
        <v>2005</v>
      </c>
      <c r="E9" s="505"/>
    </row>
    <row r="10" spans="1:5" ht="12.75">
      <c r="A10" s="222">
        <v>1</v>
      </c>
      <c r="B10" s="223"/>
      <c r="C10" s="73"/>
      <c r="D10" s="215">
        <v>2</v>
      </c>
      <c r="E10" s="224">
        <v>3</v>
      </c>
    </row>
    <row r="11" spans="1:5" ht="15.75">
      <c r="A11" s="11" t="s">
        <v>87</v>
      </c>
      <c r="B11" s="71"/>
      <c r="C11" s="71"/>
      <c r="D11" s="216"/>
      <c r="E11" s="225"/>
    </row>
    <row r="12" spans="1:5" ht="12.75">
      <c r="A12" s="12"/>
      <c r="B12" s="94" t="s">
        <v>140</v>
      </c>
      <c r="C12" s="95"/>
      <c r="D12" s="217"/>
      <c r="E12" s="226"/>
    </row>
    <row r="13" spans="1:6" ht="12.75">
      <c r="A13" s="12"/>
      <c r="B13" s="6"/>
      <c r="C13" s="7" t="s">
        <v>162</v>
      </c>
      <c r="D13" s="218">
        <f>'Pool 1 Rev-Exp'!D13</f>
        <v>29927</v>
      </c>
      <c r="E13" s="227"/>
      <c r="F13" s="137">
        <f aca="true" t="shared" si="0" ref="F13:F44">IF(E13&gt;D13,"Col 3 cannot exceed Col 2","")</f>
      </c>
    </row>
    <row r="14" spans="1:6" ht="12.75">
      <c r="A14" s="12"/>
      <c r="B14" s="6"/>
      <c r="C14" s="7" t="s">
        <v>163</v>
      </c>
      <c r="D14" s="218">
        <f>'Pool 1 Rev-Exp'!D14</f>
        <v>0</v>
      </c>
      <c r="E14" s="227"/>
      <c r="F14" s="137">
        <f t="shared" si="0"/>
      </c>
    </row>
    <row r="15" spans="1:6" ht="12.75">
      <c r="A15" s="12"/>
      <c r="B15" s="6"/>
      <c r="C15" s="7" t="s">
        <v>164</v>
      </c>
      <c r="D15" s="218">
        <f>'Pool 1 Rev-Exp'!D15</f>
        <v>0</v>
      </c>
      <c r="E15" s="227"/>
      <c r="F15" s="137">
        <f t="shared" si="0"/>
      </c>
    </row>
    <row r="16" spans="1:6" ht="12.75">
      <c r="A16" s="12"/>
      <c r="B16" s="6"/>
      <c r="C16" s="7" t="s">
        <v>165</v>
      </c>
      <c r="D16" s="218">
        <f>'Pool 1 Rev-Exp'!D16</f>
        <v>0</v>
      </c>
      <c r="E16" s="227"/>
      <c r="F16" s="137">
        <f t="shared" si="0"/>
      </c>
    </row>
    <row r="17" spans="1:6" ht="12.75">
      <c r="A17" s="12"/>
      <c r="B17" s="6"/>
      <c r="C17" s="7" t="s">
        <v>166</v>
      </c>
      <c r="D17" s="218">
        <f>'Pool 1 Rev-Exp'!D17</f>
        <v>0</v>
      </c>
      <c r="E17" s="227"/>
      <c r="F17" s="137">
        <f t="shared" si="0"/>
      </c>
    </row>
    <row r="18" spans="1:6" ht="12.75">
      <c r="A18" s="12"/>
      <c r="B18" s="6"/>
      <c r="C18" s="149" t="s">
        <v>75</v>
      </c>
      <c r="D18" s="218">
        <f>'Pool 1 Rev-Exp'!D21</f>
        <v>0</v>
      </c>
      <c r="E18" s="272">
        <v>0</v>
      </c>
      <c r="F18" s="137">
        <f t="shared" si="0"/>
      </c>
    </row>
    <row r="19" spans="1:6" ht="12.75">
      <c r="A19" s="12"/>
      <c r="B19" s="89" t="s">
        <v>167</v>
      </c>
      <c r="C19" s="93"/>
      <c r="D19" s="114"/>
      <c r="E19" s="255"/>
      <c r="F19" s="137">
        <f t="shared" si="0"/>
      </c>
    </row>
    <row r="20" spans="1:6" ht="12.75">
      <c r="A20" s="12"/>
      <c r="B20" s="6"/>
      <c r="C20" s="7" t="s">
        <v>168</v>
      </c>
      <c r="D20" s="218">
        <f>'Pool 1 Rev-Exp'!D20</f>
        <v>0</v>
      </c>
      <c r="E20" s="272">
        <v>0</v>
      </c>
      <c r="F20" s="137">
        <f t="shared" si="0"/>
      </c>
    </row>
    <row r="21" spans="1:6" ht="12.75">
      <c r="A21" s="12"/>
      <c r="B21" s="6"/>
      <c r="C21" s="7" t="s">
        <v>169</v>
      </c>
      <c r="D21" s="218">
        <f>'Pool 1 Rev-Exp'!D21</f>
        <v>0</v>
      </c>
      <c r="E21" s="227"/>
      <c r="F21" s="137">
        <f t="shared" si="0"/>
      </c>
    </row>
    <row r="22" spans="1:6" ht="12.75">
      <c r="A22" s="12"/>
      <c r="B22" s="6"/>
      <c r="C22" s="7" t="s">
        <v>170</v>
      </c>
      <c r="D22" s="218">
        <f>'Pool 1 Rev-Exp'!D22</f>
        <v>10500</v>
      </c>
      <c r="E22" s="227">
        <v>0</v>
      </c>
      <c r="F22" s="137">
        <f t="shared" si="0"/>
      </c>
    </row>
    <row r="23" spans="1:6" ht="12.75">
      <c r="A23" s="12"/>
      <c r="B23" s="6"/>
      <c r="C23" s="7" t="s">
        <v>171</v>
      </c>
      <c r="D23" s="218">
        <f>'Pool 1 Rev-Exp'!D23</f>
        <v>0</v>
      </c>
      <c r="E23" s="227"/>
      <c r="F23" s="137">
        <f t="shared" si="0"/>
      </c>
    </row>
    <row r="24" spans="1:6" ht="12.75">
      <c r="A24" s="12"/>
      <c r="B24" s="6"/>
      <c r="C24" s="7" t="s">
        <v>172</v>
      </c>
      <c r="D24" s="218">
        <f>'Pool 1 Rev-Exp'!D24</f>
        <v>0</v>
      </c>
      <c r="E24" s="227"/>
      <c r="F24" s="137">
        <f t="shared" si="0"/>
      </c>
    </row>
    <row r="25" spans="1:6" ht="12.75">
      <c r="A25" s="12"/>
      <c r="B25" s="6"/>
      <c r="C25" s="7" t="s">
        <v>32</v>
      </c>
      <c r="D25" s="218">
        <f>'Pool 1 Rev-Exp'!D25</f>
        <v>0</v>
      </c>
      <c r="E25" s="227"/>
      <c r="F25" s="137">
        <f t="shared" si="0"/>
      </c>
    </row>
    <row r="26" spans="1:6" ht="12.75">
      <c r="A26" s="12"/>
      <c r="B26" s="6"/>
      <c r="C26" s="7" t="s">
        <v>33</v>
      </c>
      <c r="D26" s="218">
        <f>'Pool 1 Rev-Exp'!D26</f>
        <v>0</v>
      </c>
      <c r="E26" s="227"/>
      <c r="F26" s="137">
        <f t="shared" si="0"/>
      </c>
    </row>
    <row r="27" spans="1:6" ht="12.75">
      <c r="A27" s="12"/>
      <c r="B27" s="6"/>
      <c r="C27" s="7" t="s">
        <v>34</v>
      </c>
      <c r="D27" s="218">
        <f>'Pool 1 Rev-Exp'!D27</f>
        <v>0</v>
      </c>
      <c r="E27" s="227"/>
      <c r="F27" s="137">
        <f t="shared" si="0"/>
      </c>
    </row>
    <row r="28" spans="1:6" ht="12.75">
      <c r="A28" s="12"/>
      <c r="B28" s="6"/>
      <c r="C28" s="149" t="s">
        <v>75</v>
      </c>
      <c r="D28" s="218">
        <f>'Pool 1 Rev-Exp'!D28</f>
        <v>0</v>
      </c>
      <c r="E28" s="272">
        <v>0</v>
      </c>
      <c r="F28" s="137">
        <f t="shared" si="0"/>
      </c>
    </row>
    <row r="29" spans="1:6" ht="12.75">
      <c r="A29" s="12"/>
      <c r="B29" s="89" t="s">
        <v>35</v>
      </c>
      <c r="C29" s="93"/>
      <c r="D29" s="114"/>
      <c r="E29" s="255"/>
      <c r="F29" s="137">
        <f t="shared" si="0"/>
      </c>
    </row>
    <row r="30" spans="1:6" ht="12.75">
      <c r="A30" s="12"/>
      <c r="B30" s="6"/>
      <c r="C30" s="8" t="s">
        <v>36</v>
      </c>
      <c r="D30" s="218">
        <f>'Pool 1 Rev-Exp'!D30</f>
        <v>221280</v>
      </c>
      <c r="E30" s="227"/>
      <c r="F30" s="137">
        <f t="shared" si="0"/>
      </c>
    </row>
    <row r="31" spans="1:6" ht="12.75">
      <c r="A31" s="12"/>
      <c r="B31" s="6"/>
      <c r="C31" s="8" t="s">
        <v>37</v>
      </c>
      <c r="D31" s="218">
        <f>'Pool 1 Rev-Exp'!D31</f>
        <v>0</v>
      </c>
      <c r="E31" s="227"/>
      <c r="F31" s="137">
        <f t="shared" si="0"/>
      </c>
    </row>
    <row r="32" spans="1:6" ht="12.75">
      <c r="A32" s="12"/>
      <c r="B32" s="6"/>
      <c r="C32" s="8" t="s">
        <v>38</v>
      </c>
      <c r="D32" s="218">
        <f>'Pool 1 Rev-Exp'!D32</f>
        <v>0</v>
      </c>
      <c r="E32" s="227"/>
      <c r="F32" s="137">
        <f t="shared" si="0"/>
      </c>
    </row>
    <row r="33" spans="1:6" ht="12.75">
      <c r="A33" s="12"/>
      <c r="B33" s="6"/>
      <c r="C33" s="8" t="s">
        <v>153</v>
      </c>
      <c r="D33" s="218">
        <f>'Pool 1 Rev-Exp'!D33</f>
        <v>0</v>
      </c>
      <c r="E33" s="227"/>
      <c r="F33" s="137">
        <f t="shared" si="0"/>
      </c>
    </row>
    <row r="34" spans="1:6" ht="12.75">
      <c r="A34" s="12"/>
      <c r="B34" s="6"/>
      <c r="C34" s="8" t="s">
        <v>100</v>
      </c>
      <c r="D34" s="218">
        <f>'Pool 1 Rev-Exp'!D34</f>
        <v>0</v>
      </c>
      <c r="E34" s="227"/>
      <c r="F34" s="137">
        <f t="shared" si="0"/>
      </c>
    </row>
    <row r="35" spans="1:6" ht="12.75">
      <c r="A35" s="12"/>
      <c r="B35" s="6"/>
      <c r="C35" s="149" t="s">
        <v>75</v>
      </c>
      <c r="D35" s="218">
        <f>'Pool 1 Rev-Exp'!D35</f>
        <v>0</v>
      </c>
      <c r="E35" s="272">
        <v>0</v>
      </c>
      <c r="F35" s="137">
        <f t="shared" si="0"/>
      </c>
    </row>
    <row r="36" spans="1:6" ht="12.75">
      <c r="A36" s="12"/>
      <c r="B36" s="89" t="s">
        <v>101</v>
      </c>
      <c r="C36" s="90"/>
      <c r="D36" s="114"/>
      <c r="E36" s="255"/>
      <c r="F36" s="137">
        <f t="shared" si="0"/>
      </c>
    </row>
    <row r="37" spans="1:6" ht="12.75">
      <c r="A37" s="12"/>
      <c r="B37" s="6"/>
      <c r="C37" s="7" t="s">
        <v>102</v>
      </c>
      <c r="D37" s="218">
        <f>'Pool 1 Rev-Exp'!D37</f>
        <v>0</v>
      </c>
      <c r="E37" s="227"/>
      <c r="F37" s="137">
        <f t="shared" si="0"/>
      </c>
    </row>
    <row r="38" spans="1:6" ht="12.75">
      <c r="A38" s="12"/>
      <c r="B38" s="6"/>
      <c r="C38" s="7" t="s">
        <v>103</v>
      </c>
      <c r="D38" s="218">
        <f>'Pool 1 Rev-Exp'!D39</f>
        <v>125298</v>
      </c>
      <c r="E38" s="227"/>
      <c r="F38" s="137">
        <f t="shared" si="0"/>
      </c>
    </row>
    <row r="39" spans="1:6" ht="12.75">
      <c r="A39" s="12"/>
      <c r="B39" s="6"/>
      <c r="C39" s="7" t="s">
        <v>104</v>
      </c>
      <c r="D39" s="218" t="e">
        <f>'Pool 1 Rev-Exp'!#REF!</f>
        <v>#REF!</v>
      </c>
      <c r="E39" s="227"/>
      <c r="F39" s="137" t="e">
        <f t="shared" si="0"/>
        <v>#REF!</v>
      </c>
    </row>
    <row r="40" spans="1:6" ht="12.75">
      <c r="A40" s="12"/>
      <c r="B40" s="6"/>
      <c r="C40" s="7" t="s">
        <v>105</v>
      </c>
      <c r="D40" s="218">
        <f>'Pool 1 Rev-Exp'!D40</f>
        <v>0</v>
      </c>
      <c r="E40" s="227"/>
      <c r="F40" s="137">
        <f t="shared" si="0"/>
      </c>
    </row>
    <row r="41" spans="1:6" ht="12.75">
      <c r="A41" s="12"/>
      <c r="B41" s="6"/>
      <c r="C41" s="7" t="s">
        <v>106</v>
      </c>
      <c r="D41" s="218">
        <f>'Pool 1 Rev-Exp'!D41</f>
        <v>0</v>
      </c>
      <c r="E41" s="227"/>
      <c r="F41" s="137">
        <f t="shared" si="0"/>
      </c>
    </row>
    <row r="42" spans="1:6" ht="12.75">
      <c r="A42" s="12"/>
      <c r="B42" s="6"/>
      <c r="C42" s="7" t="s">
        <v>107</v>
      </c>
      <c r="D42" s="218">
        <f>'Pool 1 Rev-Exp'!D42</f>
        <v>0</v>
      </c>
      <c r="E42" s="227"/>
      <c r="F42" s="137">
        <f t="shared" si="0"/>
      </c>
    </row>
    <row r="43" spans="1:6" ht="12.75">
      <c r="A43" s="12"/>
      <c r="B43" s="6"/>
      <c r="C43" s="7" t="s">
        <v>108</v>
      </c>
      <c r="D43" s="218">
        <f>'Pool 1 Rev-Exp'!D43</f>
        <v>0</v>
      </c>
      <c r="E43" s="227"/>
      <c r="F43" s="137">
        <f t="shared" si="0"/>
      </c>
    </row>
    <row r="44" spans="1:6" ht="12.75">
      <c r="A44" s="12"/>
      <c r="B44" s="6"/>
      <c r="C44" s="7" t="s">
        <v>109</v>
      </c>
      <c r="D44" s="218">
        <f>'Pool 1 Rev-Exp'!D44</f>
        <v>0</v>
      </c>
      <c r="E44" s="227"/>
      <c r="F44" s="137">
        <f t="shared" si="0"/>
      </c>
    </row>
    <row r="45" spans="1:6" ht="12.75">
      <c r="A45" s="12"/>
      <c r="B45" s="6"/>
      <c r="C45" s="149" t="s">
        <v>75</v>
      </c>
      <c r="D45" s="218">
        <f>'Pool 1 Rev-Exp'!D45</f>
        <v>0</v>
      </c>
      <c r="E45" s="272">
        <v>0</v>
      </c>
      <c r="F45" s="137">
        <f aca="true" t="shared" si="1" ref="F45:F89">IF(E45&gt;D45,"Col 3 cannot exceed Col 2","")</f>
      </c>
    </row>
    <row r="46" spans="1:6" ht="12.75">
      <c r="A46" s="12"/>
      <c r="B46" s="89" t="s">
        <v>110</v>
      </c>
      <c r="C46" s="90"/>
      <c r="D46" s="114"/>
      <c r="E46" s="255"/>
      <c r="F46" s="137">
        <f t="shared" si="1"/>
      </c>
    </row>
    <row r="47" spans="1:6" ht="12.75">
      <c r="A47" s="12"/>
      <c r="B47" s="6"/>
      <c r="C47" s="7" t="s">
        <v>111</v>
      </c>
      <c r="D47" s="218">
        <f>'Pool 1 Rev-Exp'!D47</f>
        <v>136579</v>
      </c>
      <c r="E47" s="227"/>
      <c r="F47" s="137">
        <f t="shared" si="1"/>
      </c>
    </row>
    <row r="48" spans="1:6" ht="12.75">
      <c r="A48" s="12"/>
      <c r="B48" s="6"/>
      <c r="C48" s="149" t="s">
        <v>75</v>
      </c>
      <c r="D48" s="218">
        <f>'Pool 1 Rev-Exp'!D48</f>
        <v>0</v>
      </c>
      <c r="E48" s="272">
        <v>0</v>
      </c>
      <c r="F48" s="137">
        <f t="shared" si="1"/>
      </c>
    </row>
    <row r="49" spans="1:6" ht="12.75">
      <c r="A49" s="12"/>
      <c r="B49" s="89" t="s">
        <v>112</v>
      </c>
      <c r="C49" s="90"/>
      <c r="D49" s="114"/>
      <c r="E49" s="255"/>
      <c r="F49" s="137">
        <f t="shared" si="1"/>
      </c>
    </row>
    <row r="50" spans="1:6" ht="12.75">
      <c r="A50" s="12"/>
      <c r="B50" s="6"/>
      <c r="C50" s="10" t="s">
        <v>113</v>
      </c>
      <c r="D50" s="218">
        <f>'Pool 1 Rev-Exp'!D50</f>
        <v>0</v>
      </c>
      <c r="E50" s="227"/>
      <c r="F50" s="137">
        <f t="shared" si="1"/>
      </c>
    </row>
    <row r="51" spans="1:6" ht="12.75">
      <c r="A51" s="12"/>
      <c r="B51" s="6"/>
      <c r="C51" s="7" t="s">
        <v>114</v>
      </c>
      <c r="D51" s="218">
        <f>'Pool 1 Rev-Exp'!D51</f>
        <v>0</v>
      </c>
      <c r="E51" s="227"/>
      <c r="F51" s="137">
        <f t="shared" si="1"/>
      </c>
    </row>
    <row r="52" spans="1:6" ht="12.75">
      <c r="A52" s="12"/>
      <c r="B52" s="6"/>
      <c r="C52" s="7" t="s">
        <v>115</v>
      </c>
      <c r="D52" s="218">
        <f>'Pool 1 Rev-Exp'!D52</f>
        <v>0</v>
      </c>
      <c r="E52" s="227"/>
      <c r="F52" s="137">
        <f t="shared" si="1"/>
      </c>
    </row>
    <row r="53" spans="1:6" ht="12.75">
      <c r="A53" s="12"/>
      <c r="B53" s="6"/>
      <c r="C53" s="7" t="s">
        <v>116</v>
      </c>
      <c r="D53" s="218">
        <f>'Pool 1 Rev-Exp'!D53</f>
        <v>261348</v>
      </c>
      <c r="E53" s="227"/>
      <c r="F53" s="137">
        <f t="shared" si="1"/>
      </c>
    </row>
    <row r="54" spans="1:6" ht="12.75">
      <c r="A54" s="12"/>
      <c r="B54" s="6"/>
      <c r="C54" s="7" t="s">
        <v>117</v>
      </c>
      <c r="D54" s="218">
        <f>'Pool 1 Rev-Exp'!D54</f>
        <v>0</v>
      </c>
      <c r="E54" s="227"/>
      <c r="F54" s="137">
        <f t="shared" si="1"/>
      </c>
    </row>
    <row r="55" spans="1:6" ht="12.75">
      <c r="A55" s="12"/>
      <c r="B55" s="6"/>
      <c r="C55" s="149" t="s">
        <v>75</v>
      </c>
      <c r="D55" s="218">
        <f>'Pool 1 Rev-Exp'!D55</f>
        <v>0</v>
      </c>
      <c r="E55" s="272">
        <v>0</v>
      </c>
      <c r="F55" s="137">
        <f t="shared" si="1"/>
      </c>
    </row>
    <row r="56" spans="1:6" ht="12.75">
      <c r="A56" s="12"/>
      <c r="B56" s="89" t="s">
        <v>118</v>
      </c>
      <c r="C56" s="90"/>
      <c r="D56" s="114"/>
      <c r="E56" s="255"/>
      <c r="F56" s="137">
        <f t="shared" si="1"/>
      </c>
    </row>
    <row r="57" spans="1:6" ht="12.75">
      <c r="A57" s="12"/>
      <c r="B57" s="6"/>
      <c r="C57" s="7" t="s">
        <v>119</v>
      </c>
      <c r="D57" s="218">
        <f>'Pool 1 Rev-Exp'!D57</f>
        <v>0</v>
      </c>
      <c r="E57" s="227"/>
      <c r="F57" s="137">
        <f t="shared" si="1"/>
      </c>
    </row>
    <row r="58" spans="1:6" ht="12.75">
      <c r="A58" s="12"/>
      <c r="B58" s="6"/>
      <c r="C58" s="7" t="s">
        <v>120</v>
      </c>
      <c r="D58" s="218">
        <f>'Pool 1 Rev-Exp'!D58</f>
        <v>0</v>
      </c>
      <c r="E58" s="227"/>
      <c r="F58" s="137">
        <f t="shared" si="1"/>
      </c>
    </row>
    <row r="59" spans="1:6" ht="12.75">
      <c r="A59" s="12"/>
      <c r="B59" s="6"/>
      <c r="C59" s="7" t="s">
        <v>121</v>
      </c>
      <c r="D59" s="218">
        <f>'Pool 1 Rev-Exp'!D59</f>
        <v>0</v>
      </c>
      <c r="E59" s="227"/>
      <c r="F59" s="137">
        <f t="shared" si="1"/>
      </c>
    </row>
    <row r="60" spans="1:6" ht="12.75">
      <c r="A60" s="12"/>
      <c r="B60" s="6"/>
      <c r="C60" s="7" t="s">
        <v>122</v>
      </c>
      <c r="D60" s="218">
        <f>'Pool 1 Rev-Exp'!D60</f>
        <v>0</v>
      </c>
      <c r="E60" s="227"/>
      <c r="F60" s="137">
        <f t="shared" si="1"/>
      </c>
    </row>
    <row r="61" spans="1:6" ht="12.75">
      <c r="A61" s="12"/>
      <c r="B61" s="6"/>
      <c r="C61" s="149" t="s">
        <v>75</v>
      </c>
      <c r="D61" s="218">
        <f>'Pool 1 Rev-Exp'!D61</f>
        <v>0</v>
      </c>
      <c r="E61" s="272">
        <v>0</v>
      </c>
      <c r="F61" s="137">
        <f t="shared" si="1"/>
      </c>
    </row>
    <row r="62" spans="1:6" ht="12.75">
      <c r="A62" s="12"/>
      <c r="B62" s="89" t="s">
        <v>123</v>
      </c>
      <c r="C62" s="90"/>
      <c r="D62" s="114"/>
      <c r="E62" s="255"/>
      <c r="F62" s="137">
        <f t="shared" si="1"/>
      </c>
    </row>
    <row r="63" spans="1:6" ht="12.75">
      <c r="A63" s="12"/>
      <c r="B63" s="6"/>
      <c r="C63" s="10" t="s">
        <v>124</v>
      </c>
      <c r="D63" s="218">
        <f>'Pool 1 Rev-Exp'!D63</f>
        <v>0</v>
      </c>
      <c r="E63" s="227"/>
      <c r="F63" s="137">
        <f t="shared" si="1"/>
      </c>
    </row>
    <row r="64" spans="1:6" ht="12.75">
      <c r="A64" s="12"/>
      <c r="B64" s="6"/>
      <c r="C64" s="10" t="s">
        <v>125</v>
      </c>
      <c r="D64" s="218">
        <f>'Pool 1 Rev-Exp'!D64</f>
        <v>0</v>
      </c>
      <c r="E64" s="227"/>
      <c r="F64" s="137">
        <f t="shared" si="1"/>
      </c>
    </row>
    <row r="65" spans="1:6" ht="12.75">
      <c r="A65" s="12"/>
      <c r="B65" s="6"/>
      <c r="C65" s="10" t="s">
        <v>126</v>
      </c>
      <c r="D65" s="218">
        <f>'Pool 1 Rev-Exp'!D65</f>
        <v>923</v>
      </c>
      <c r="E65" s="227"/>
      <c r="F65" s="137">
        <f t="shared" si="1"/>
      </c>
    </row>
    <row r="66" spans="1:6" ht="12.75">
      <c r="A66" s="12"/>
      <c r="B66" s="6"/>
      <c r="C66" s="10" t="s">
        <v>127</v>
      </c>
      <c r="D66" s="218">
        <f>'Pool 1 Rev-Exp'!D66</f>
        <v>0</v>
      </c>
      <c r="E66" s="227"/>
      <c r="F66" s="137">
        <f t="shared" si="1"/>
      </c>
    </row>
    <row r="67" spans="1:6" ht="12.75">
      <c r="A67" s="12"/>
      <c r="B67" s="6"/>
      <c r="C67" s="10" t="s">
        <v>128</v>
      </c>
      <c r="D67" s="218">
        <f>'Pool 1 Rev-Exp'!D67</f>
        <v>0</v>
      </c>
      <c r="E67" s="227"/>
      <c r="F67" s="137">
        <f t="shared" si="1"/>
      </c>
    </row>
    <row r="68" spans="1:6" ht="12.75">
      <c r="A68" s="12"/>
      <c r="B68" s="6"/>
      <c r="C68" s="149" t="s">
        <v>75</v>
      </c>
      <c r="D68" s="218">
        <f>'Pool 1 Rev-Exp'!D68</f>
        <v>0</v>
      </c>
      <c r="E68" s="272">
        <v>0</v>
      </c>
      <c r="F68" s="137">
        <f t="shared" si="1"/>
      </c>
    </row>
    <row r="69" spans="1:6" ht="12.75">
      <c r="A69" s="12"/>
      <c r="B69" s="89" t="s">
        <v>129</v>
      </c>
      <c r="C69" s="90"/>
      <c r="D69" s="114"/>
      <c r="E69" s="255"/>
      <c r="F69" s="137">
        <f t="shared" si="1"/>
      </c>
    </row>
    <row r="70" spans="1:6" ht="12.75">
      <c r="A70" s="12"/>
      <c r="B70" s="6"/>
      <c r="C70" s="10" t="s">
        <v>130</v>
      </c>
      <c r="D70" s="218">
        <f>'Pool 1 Rev-Exp'!D70</f>
        <v>21937</v>
      </c>
      <c r="E70" s="227"/>
      <c r="F70" s="137">
        <f t="shared" si="1"/>
      </c>
    </row>
    <row r="71" spans="1:6" ht="12.75">
      <c r="A71" s="12"/>
      <c r="B71" s="6"/>
      <c r="C71" s="10" t="s">
        <v>131</v>
      </c>
      <c r="D71" s="218">
        <f>'Pool 1 Rev-Exp'!D71</f>
        <v>0</v>
      </c>
      <c r="E71" s="227"/>
      <c r="F71" s="137">
        <f t="shared" si="1"/>
      </c>
    </row>
    <row r="72" spans="1:6" ht="12.75">
      <c r="A72" s="12"/>
      <c r="B72" s="6"/>
      <c r="C72" s="10" t="s">
        <v>117</v>
      </c>
      <c r="D72" s="218">
        <f>'Pool 1 Rev-Exp'!D72</f>
        <v>0</v>
      </c>
      <c r="E72" s="227"/>
      <c r="F72" s="137">
        <f t="shared" si="1"/>
      </c>
    </row>
    <row r="73" spans="1:6" ht="12.75">
      <c r="A73" s="12"/>
      <c r="B73" s="6"/>
      <c r="C73" s="149" t="s">
        <v>75</v>
      </c>
      <c r="D73" s="218">
        <f>'Pool 1 Rev-Exp'!D73</f>
        <v>0</v>
      </c>
      <c r="E73" s="272">
        <v>0</v>
      </c>
      <c r="F73" s="137">
        <f t="shared" si="1"/>
      </c>
    </row>
    <row r="74" spans="1:6" ht="12.75">
      <c r="A74" s="12"/>
      <c r="B74" s="89" t="s">
        <v>132</v>
      </c>
      <c r="C74" s="90"/>
      <c r="D74" s="114"/>
      <c r="E74" s="255"/>
      <c r="F74" s="137">
        <f t="shared" si="1"/>
      </c>
    </row>
    <row r="75" spans="1:6" ht="12.75">
      <c r="A75" s="12"/>
      <c r="B75" s="6"/>
      <c r="C75" s="10" t="s">
        <v>133</v>
      </c>
      <c r="D75" s="218">
        <f>'Pool 1 Rev-Exp'!D75</f>
        <v>0</v>
      </c>
      <c r="E75" s="227"/>
      <c r="F75" s="137">
        <f t="shared" si="1"/>
      </c>
    </row>
    <row r="76" spans="1:6" ht="12.75">
      <c r="A76" s="12"/>
      <c r="B76" s="6"/>
      <c r="C76" s="10" t="s">
        <v>134</v>
      </c>
      <c r="D76" s="218">
        <f>'Pool 1 Rev-Exp'!D76</f>
        <v>0</v>
      </c>
      <c r="E76" s="227"/>
      <c r="F76" s="137">
        <f t="shared" si="1"/>
      </c>
    </row>
    <row r="77" spans="1:6" ht="12.75">
      <c r="A77" s="12"/>
      <c r="B77" s="6"/>
      <c r="C77" s="149" t="s">
        <v>75</v>
      </c>
      <c r="D77" s="218">
        <f>'Pool 1 Rev-Exp'!D77</f>
        <v>0</v>
      </c>
      <c r="E77" s="272">
        <v>0</v>
      </c>
      <c r="F77" s="137">
        <f t="shared" si="1"/>
      </c>
    </row>
    <row r="78" spans="1:6" ht="12.75">
      <c r="A78" s="12"/>
      <c r="B78" s="89" t="s">
        <v>135</v>
      </c>
      <c r="C78" s="90"/>
      <c r="D78" s="114"/>
      <c r="E78" s="255"/>
      <c r="F78" s="137">
        <f t="shared" si="1"/>
      </c>
    </row>
    <row r="79" spans="1:6" ht="12.75">
      <c r="A79" s="12"/>
      <c r="B79" s="6"/>
      <c r="C79" s="7" t="s">
        <v>136</v>
      </c>
      <c r="D79" s="218">
        <f>'Pool 1 Rev-Exp'!D79</f>
        <v>0</v>
      </c>
      <c r="E79" s="227"/>
      <c r="F79" s="137">
        <f t="shared" si="1"/>
      </c>
    </row>
    <row r="80" spans="1:6" ht="12.75">
      <c r="A80" s="12"/>
      <c r="B80" s="6"/>
      <c r="C80" s="7" t="s">
        <v>117</v>
      </c>
      <c r="D80" s="218">
        <f>'Pool 1 Rev-Exp'!D80</f>
        <v>0</v>
      </c>
      <c r="E80" s="227"/>
      <c r="F80" s="137">
        <f t="shared" si="1"/>
      </c>
    </row>
    <row r="81" spans="1:6" ht="12.75">
      <c r="A81" s="12"/>
      <c r="B81" s="6"/>
      <c r="C81" s="149" t="s">
        <v>75</v>
      </c>
      <c r="D81" s="218">
        <f>'Pool 1 Rev-Exp'!D81</f>
        <v>0</v>
      </c>
      <c r="E81" s="272">
        <v>0</v>
      </c>
      <c r="F81" s="137">
        <f t="shared" si="1"/>
      </c>
    </row>
    <row r="82" spans="1:6" ht="12.75">
      <c r="A82" s="12"/>
      <c r="B82" s="89" t="s">
        <v>137</v>
      </c>
      <c r="C82" s="90"/>
      <c r="D82" s="114"/>
      <c r="E82" s="255"/>
      <c r="F82" s="137">
        <f t="shared" si="1"/>
      </c>
    </row>
    <row r="83" spans="1:6" ht="12.75">
      <c r="A83" s="12"/>
      <c r="B83" s="6"/>
      <c r="C83" s="7" t="s">
        <v>138</v>
      </c>
      <c r="D83" s="218">
        <f>'Pool 1 Rev-Exp'!D83</f>
        <v>0</v>
      </c>
      <c r="E83" s="227"/>
      <c r="F83" s="137">
        <f t="shared" si="1"/>
      </c>
    </row>
    <row r="84" spans="1:6" ht="12.75">
      <c r="A84" s="12"/>
      <c r="B84" s="6"/>
      <c r="C84" s="149" t="s">
        <v>75</v>
      </c>
      <c r="D84" s="218">
        <f>'Pool 1 Rev-Exp'!D84</f>
        <v>0</v>
      </c>
      <c r="E84" s="272">
        <v>0</v>
      </c>
      <c r="F84" s="137">
        <f t="shared" si="1"/>
      </c>
    </row>
    <row r="85" spans="1:6" ht="12.75">
      <c r="A85" s="12"/>
      <c r="B85" s="89" t="s">
        <v>139</v>
      </c>
      <c r="C85" s="90"/>
      <c r="D85" s="114"/>
      <c r="E85" s="255"/>
      <c r="F85" s="137">
        <f t="shared" si="1"/>
      </c>
    </row>
    <row r="86" spans="1:6" ht="12.75">
      <c r="A86" s="12"/>
      <c r="B86" s="6"/>
      <c r="C86" s="430">
        <f>'Pool 1 Rev-Exp'!C86</f>
        <v>0</v>
      </c>
      <c r="D86" s="218">
        <f>'Pool 1 Rev-Exp'!D86</f>
        <v>0</v>
      </c>
      <c r="E86" s="227"/>
      <c r="F86" s="137">
        <f t="shared" si="1"/>
      </c>
    </row>
    <row r="87" spans="1:6" ht="12.75">
      <c r="A87" s="12"/>
      <c r="B87" s="6"/>
      <c r="C87" s="430" t="str">
        <f>'Pool 1 Rev-Exp'!C87</f>
        <v>Local Non-govt</v>
      </c>
      <c r="D87" s="218">
        <f>'Pool 1 Rev-Exp'!D87</f>
        <v>0</v>
      </c>
      <c r="E87" s="227"/>
      <c r="F87" s="137">
        <f t="shared" si="1"/>
      </c>
    </row>
    <row r="88" spans="1:6" ht="12.75">
      <c r="A88" s="12"/>
      <c r="B88" s="19"/>
      <c r="C88" s="431" t="str">
        <f>'Pool 1 Rev-Exp'!C88</f>
        <v>xxxx</v>
      </c>
      <c r="D88" s="219">
        <f>'Pool 1 Rev-Exp'!D88</f>
        <v>0</v>
      </c>
      <c r="E88" s="227"/>
      <c r="F88" s="137">
        <f t="shared" si="1"/>
      </c>
    </row>
    <row r="89" spans="1:6" ht="13.5" thickBot="1">
      <c r="A89" s="158"/>
      <c r="B89" s="139"/>
      <c r="C89" s="152" t="s">
        <v>75</v>
      </c>
      <c r="D89" s="265">
        <f>'Pool 1 Rev-Exp'!D89</f>
        <v>0</v>
      </c>
      <c r="E89" s="306">
        <v>0</v>
      </c>
      <c r="F89" s="137">
        <f t="shared" si="1"/>
      </c>
    </row>
    <row r="90" spans="1:5" ht="18" customHeight="1" thickBot="1" thickTop="1">
      <c r="A90" s="28"/>
      <c r="B90" s="19"/>
      <c r="C90" s="20" t="s">
        <v>84</v>
      </c>
      <c r="D90" s="307" t="e">
        <f>SUM(D12:D89)</f>
        <v>#REF!</v>
      </c>
      <c r="E90" s="307">
        <f>SUM(E12:E89)</f>
        <v>0</v>
      </c>
    </row>
    <row r="91" spans="1:5" ht="13.5" thickTop="1">
      <c r="A91" s="2"/>
      <c r="B91" s="19"/>
      <c r="C91" s="20"/>
      <c r="D91" s="220"/>
      <c r="E91" s="187"/>
    </row>
    <row r="92" spans="1:5" ht="12.75">
      <c r="A92" s="2"/>
      <c r="B92" s="19"/>
      <c r="C92" s="20"/>
      <c r="D92" s="220"/>
      <c r="E92" s="187"/>
    </row>
    <row r="93" spans="1:4" ht="21.75" customHeight="1">
      <c r="A93" s="2"/>
      <c r="C93" s="418" t="s">
        <v>41</v>
      </c>
      <c r="D93" s="181"/>
    </row>
    <row r="94" spans="1:5" s="118" customFormat="1" ht="16.5" customHeight="1">
      <c r="A94" s="308"/>
      <c r="C94" s="308"/>
      <c r="D94" s="266" t="s">
        <v>197</v>
      </c>
      <c r="E94" s="417">
        <f>E90</f>
        <v>0</v>
      </c>
    </row>
    <row r="95" spans="1:6" ht="15.75" customHeight="1" thickBot="1">
      <c r="A95" s="2"/>
      <c r="D95" s="267" t="s">
        <v>198</v>
      </c>
      <c r="E95" s="416"/>
      <c r="F95" s="2"/>
    </row>
    <row r="96" spans="1:7" ht="31.5" customHeight="1" thickBot="1" thickTop="1">
      <c r="A96" s="2"/>
      <c r="C96" s="506" t="s">
        <v>39</v>
      </c>
      <c r="D96" s="507"/>
      <c r="E96" s="421">
        <f>IF(OR(E95=0,E95=""),0,E94-E95)</f>
        <v>0</v>
      </c>
      <c r="F96" s="2"/>
      <c r="G96" s="420" t="s">
        <v>188</v>
      </c>
    </row>
    <row r="97" spans="1:5" ht="12.75">
      <c r="A97" s="2"/>
      <c r="B97" s="19"/>
      <c r="D97" s="2"/>
      <c r="E97" s="142"/>
    </row>
    <row r="98" spans="1:5" ht="8.25" customHeight="1">
      <c r="A98" s="2"/>
      <c r="B98" s="19"/>
      <c r="C98" s="2"/>
      <c r="D98" s="221"/>
      <c r="E98" s="163"/>
    </row>
    <row r="99" spans="4:5" ht="6.75" customHeight="1">
      <c r="D99" s="221"/>
      <c r="E99" s="163"/>
    </row>
    <row r="100" spans="1:10" ht="15">
      <c r="A100" s="228" t="s">
        <v>189</v>
      </c>
      <c r="B100" s="229"/>
      <c r="C100" s="146"/>
      <c r="D100" s="230"/>
      <c r="E100" s="231"/>
      <c r="F100" s="309"/>
      <c r="G100" s="309"/>
      <c r="H100" s="309"/>
      <c r="I100" s="309"/>
      <c r="J100" s="309"/>
    </row>
    <row r="101" spans="4:5" ht="12.75">
      <c r="D101" s="221"/>
      <c r="E101" s="163"/>
    </row>
    <row r="102" ht="12.75">
      <c r="E102" s="163"/>
    </row>
    <row r="103" ht="12.75">
      <c r="E103" s="163"/>
    </row>
    <row r="104" ht="12.75">
      <c r="E104" s="163"/>
    </row>
    <row r="105" ht="12.75">
      <c r="E105" s="163"/>
    </row>
    <row r="106" ht="12.75">
      <c r="E106" s="163"/>
    </row>
    <row r="107" ht="12.75">
      <c r="E107" s="163"/>
    </row>
    <row r="108" ht="12.75">
      <c r="E108" s="142"/>
    </row>
    <row r="109" ht="12.75">
      <c r="E109" s="142"/>
    </row>
    <row r="110" ht="12.75">
      <c r="E110" s="142"/>
    </row>
    <row r="111" ht="12.75">
      <c r="E111" s="142"/>
    </row>
  </sheetData>
  <sheetProtection selectLockedCells="1"/>
  <mergeCells count="2">
    <mergeCell ref="E5:E9"/>
    <mergeCell ref="C96:D96"/>
  </mergeCells>
  <printOptions horizontalCentered="1" verticalCentered="1"/>
  <pageMargins left="0.64" right="0.53" top="0.59" bottom="0.56" header="0.4" footer="0.36"/>
  <pageSetup cellComments="asDisplayed" fitToHeight="1" fitToWidth="1" horizontalDpi="600" verticalDpi="600" orientation="portrait" scale="44" r:id="rId3"/>
  <headerFooter alignWithMargins="0">
    <oddFooter>&amp;L&amp;"Arial,Regular"&amp;F:  &amp;A&amp;C&amp;R&amp;"Arial,Regular"Page &amp;P of &amp;N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P126"/>
  <sheetViews>
    <sheetView tabSelected="1" workbookViewId="0" topLeftCell="A1">
      <selection activeCell="H107" sqref="H107"/>
    </sheetView>
  </sheetViews>
  <sheetFormatPr defaultColWidth="9.00390625" defaultRowHeight="12.75"/>
  <cols>
    <col min="1" max="1" width="7.875" style="0" customWidth="1"/>
    <col min="2" max="2" width="3.00390625" style="0" customWidth="1"/>
    <col min="3" max="3" width="28.75390625" style="0" customWidth="1"/>
    <col min="4" max="7" width="14.75390625" style="0" customWidth="1"/>
    <col min="8" max="8" width="11.75390625" style="0" customWidth="1"/>
    <col min="9" max="9" width="3.375" style="0" customWidth="1"/>
    <col min="10" max="10" width="4.125" style="0" customWidth="1"/>
    <col min="11" max="11" width="11.00390625" style="0" customWidth="1"/>
    <col min="12" max="12" width="12.625" style="0" customWidth="1"/>
    <col min="13" max="13" width="11.875" style="0" customWidth="1"/>
    <col min="14" max="14" width="2.25390625" style="0" customWidth="1"/>
    <col min="15" max="15" width="13.50390625" style="0" customWidth="1"/>
    <col min="16" max="16384" width="11.00390625" style="0" customWidth="1"/>
  </cols>
  <sheetData>
    <row r="1" spans="1:2" s="1" customFormat="1" ht="24" customHeight="1">
      <c r="A1" s="116" t="s">
        <v>190</v>
      </c>
      <c r="B1" s="3"/>
    </row>
    <row r="2" spans="2:4" s="1" customFormat="1" ht="18">
      <c r="B2" s="46"/>
      <c r="C2" s="112" t="s">
        <v>69</v>
      </c>
      <c r="D2" s="46" t="str">
        <f>'Pool Designation'!D7</f>
        <v>CTD (or Generic)</v>
      </c>
    </row>
    <row r="3" spans="1:3" s="118" customFormat="1" ht="25.5" customHeight="1">
      <c r="A3" s="128" t="s">
        <v>71</v>
      </c>
      <c r="B3" s="127" t="s">
        <v>176</v>
      </c>
      <c r="C3" s="127"/>
    </row>
    <row r="4" spans="1:3" s="118" customFormat="1" ht="25.5" customHeight="1">
      <c r="A4" s="128" t="s">
        <v>72</v>
      </c>
      <c r="B4" s="127" t="s">
        <v>40</v>
      </c>
      <c r="C4" s="127"/>
    </row>
    <row r="5" spans="1:10" ht="12" customHeight="1">
      <c r="A5" s="1"/>
      <c r="B5" s="3"/>
      <c r="C5" s="1"/>
      <c r="D5" s="1"/>
      <c r="E5" s="67"/>
      <c r="F5" s="453"/>
      <c r="G5" s="67"/>
      <c r="H5" s="145"/>
      <c r="I5" s="145"/>
      <c r="J5" s="145"/>
    </row>
    <row r="6" spans="1:14" s="118" customFormat="1" ht="35.25" customHeight="1">
      <c r="A6" s="128" t="s">
        <v>73</v>
      </c>
      <c r="B6" s="512" t="s">
        <v>205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54"/>
    </row>
    <row r="7" spans="1:10" ht="12" customHeight="1">
      <c r="A7" s="1"/>
      <c r="B7" s="3"/>
      <c r="C7" s="1"/>
      <c r="D7" s="1"/>
      <c r="E7" s="66"/>
      <c r="F7" s="171"/>
      <c r="G7" s="66"/>
      <c r="H7" s="145"/>
      <c r="I7" s="145"/>
      <c r="J7" s="145"/>
    </row>
    <row r="8" spans="1:7" ht="63.75" customHeight="1">
      <c r="A8" s="26"/>
      <c r="B8" s="27"/>
      <c r="C8" s="28"/>
      <c r="D8" s="30" t="s">
        <v>183</v>
      </c>
      <c r="E8" s="513" t="s">
        <v>83</v>
      </c>
      <c r="F8" s="515" t="s">
        <v>78</v>
      </c>
      <c r="G8" s="504" t="s">
        <v>148</v>
      </c>
    </row>
    <row r="9" spans="1:7" ht="16.5" customHeight="1">
      <c r="A9" s="12"/>
      <c r="B9" s="19"/>
      <c r="C9" s="2"/>
      <c r="D9" s="442" t="e">
        <f>'Pool 1 Rev-Exp'!#REF!</f>
        <v>#REF!</v>
      </c>
      <c r="E9" s="514"/>
      <c r="F9" s="516"/>
      <c r="G9" s="517"/>
    </row>
    <row r="10" spans="1:7" ht="16.5" customHeight="1">
      <c r="A10" s="12"/>
      <c r="B10" s="19"/>
      <c r="C10" s="2"/>
      <c r="D10" s="214">
        <f>'Pool 1 Rev-Exp'!E7</f>
        <v>2006</v>
      </c>
      <c r="E10" s="514"/>
      <c r="F10" s="516"/>
      <c r="G10" s="517"/>
    </row>
    <row r="11" spans="1:7" ht="16.5" customHeight="1">
      <c r="A11" s="12"/>
      <c r="B11" s="19"/>
      <c r="C11" s="2"/>
      <c r="D11" s="443" t="e">
        <f>'Pool 1 Rev-Exp'!#REF!</f>
        <v>#REF!</v>
      </c>
      <c r="E11" s="514"/>
      <c r="F11" s="516"/>
      <c r="G11" s="517"/>
    </row>
    <row r="12" spans="1:7" ht="16.5" customHeight="1">
      <c r="A12" s="12"/>
      <c r="B12" s="19"/>
      <c r="C12" s="2"/>
      <c r="D12" s="214">
        <f>'Pool 1 Rev-Exp'!E9</f>
        <v>2006</v>
      </c>
      <c r="E12" s="514"/>
      <c r="F12" s="516"/>
      <c r="G12" s="517"/>
    </row>
    <row r="13" spans="1:7" ht="12.75">
      <c r="A13" s="31">
        <v>1</v>
      </c>
      <c r="B13" s="5"/>
      <c r="C13" s="73"/>
      <c r="D13" s="74">
        <v>2</v>
      </c>
      <c r="E13" s="239">
        <v>3</v>
      </c>
      <c r="F13" s="246">
        <v>4</v>
      </c>
      <c r="G13" s="253">
        <v>5</v>
      </c>
    </row>
    <row r="14" spans="1:7" ht="15" customHeight="1">
      <c r="A14" s="11" t="s">
        <v>87</v>
      </c>
      <c r="B14" s="71"/>
      <c r="C14" s="71"/>
      <c r="D14" s="72"/>
      <c r="E14" s="240"/>
      <c r="F14" s="247"/>
      <c r="G14" s="225"/>
    </row>
    <row r="15" spans="1:7" ht="15" customHeight="1">
      <c r="A15" s="12"/>
      <c r="B15" s="94" t="s">
        <v>140</v>
      </c>
      <c r="C15" s="95"/>
      <c r="D15" s="96"/>
      <c r="E15" s="241"/>
      <c r="F15" s="248"/>
      <c r="G15" s="226"/>
    </row>
    <row r="16" spans="1:9" ht="15" customHeight="1">
      <c r="A16" s="12"/>
      <c r="B16" s="6"/>
      <c r="C16" s="7" t="s">
        <v>162</v>
      </c>
      <c r="D16" s="36">
        <f>'Pool 1 Rev-Exp'!E13</f>
        <v>30000</v>
      </c>
      <c r="E16" s="271">
        <v>0</v>
      </c>
      <c r="F16" s="249">
        <f aca="true" t="shared" si="0" ref="F16:F21">D16-E16</f>
        <v>30000</v>
      </c>
      <c r="G16" s="227">
        <v>0</v>
      </c>
      <c r="H16" s="198">
        <f aca="true" t="shared" si="1" ref="H16:H47">IF(G16&gt;F16,"Subsidy Money Cannot Exceed Excluded Revenue","")</f>
      </c>
      <c r="I16" s="198"/>
    </row>
    <row r="17" spans="1:9" ht="15" customHeight="1">
      <c r="A17" s="12"/>
      <c r="B17" s="6"/>
      <c r="C17" s="7" t="s">
        <v>163</v>
      </c>
      <c r="D17" s="36">
        <f>'Pool 1 Rev-Exp'!E14</f>
        <v>0</v>
      </c>
      <c r="E17" s="271">
        <v>0</v>
      </c>
      <c r="F17" s="250">
        <f t="shared" si="0"/>
        <v>0</v>
      </c>
      <c r="G17" s="254">
        <v>0</v>
      </c>
      <c r="H17" s="198">
        <f t="shared" si="1"/>
      </c>
      <c r="I17" s="198"/>
    </row>
    <row r="18" spans="1:9" ht="15" customHeight="1">
      <c r="A18" s="12"/>
      <c r="B18" s="6"/>
      <c r="C18" s="7" t="s">
        <v>164</v>
      </c>
      <c r="D18" s="36">
        <f>'Pool 1 Rev-Exp'!E15</f>
        <v>0</v>
      </c>
      <c r="E18" s="271">
        <v>0</v>
      </c>
      <c r="F18" s="249">
        <f t="shared" si="0"/>
        <v>0</v>
      </c>
      <c r="G18" s="227"/>
      <c r="H18" s="198">
        <f t="shared" si="1"/>
      </c>
      <c r="I18" s="198"/>
    </row>
    <row r="19" spans="1:9" ht="15" customHeight="1">
      <c r="A19" s="12"/>
      <c r="B19" s="6"/>
      <c r="C19" s="7" t="s">
        <v>165</v>
      </c>
      <c r="D19" s="36">
        <f>'Pool 1 Rev-Exp'!E16</f>
        <v>0</v>
      </c>
      <c r="E19" s="271">
        <v>0</v>
      </c>
      <c r="F19" s="249">
        <f t="shared" si="0"/>
        <v>0</v>
      </c>
      <c r="G19" s="227"/>
      <c r="H19" s="198">
        <f t="shared" si="1"/>
      </c>
      <c r="I19" s="198"/>
    </row>
    <row r="20" spans="1:9" ht="15" customHeight="1">
      <c r="A20" s="12"/>
      <c r="B20" s="6"/>
      <c r="C20" s="7" t="s">
        <v>166</v>
      </c>
      <c r="D20" s="36">
        <f>'Pool 1 Rev-Exp'!E17</f>
        <v>0</v>
      </c>
      <c r="E20" s="242"/>
      <c r="F20" s="249">
        <f t="shared" si="0"/>
        <v>0</v>
      </c>
      <c r="G20" s="227"/>
      <c r="H20" s="198">
        <f t="shared" si="1"/>
      </c>
      <c r="I20" s="198"/>
    </row>
    <row r="21" spans="1:9" ht="15" customHeight="1">
      <c r="A21" s="12"/>
      <c r="B21" s="6"/>
      <c r="C21" s="149" t="s">
        <v>184</v>
      </c>
      <c r="D21" s="36">
        <f>'Pool 1 Rev-Exp'!E18</f>
        <v>0</v>
      </c>
      <c r="E21" s="271"/>
      <c r="F21" s="249">
        <f t="shared" si="0"/>
        <v>0</v>
      </c>
      <c r="G21" s="272">
        <v>0</v>
      </c>
      <c r="H21" s="198">
        <f t="shared" si="1"/>
      </c>
      <c r="I21" s="198"/>
    </row>
    <row r="22" spans="1:9" ht="15" customHeight="1">
      <c r="A22" s="12"/>
      <c r="B22" s="89" t="s">
        <v>167</v>
      </c>
      <c r="C22" s="93"/>
      <c r="D22" s="91"/>
      <c r="E22" s="243"/>
      <c r="F22" s="251"/>
      <c r="G22" s="255"/>
      <c r="H22" s="198">
        <f t="shared" si="1"/>
      </c>
      <c r="I22" s="198"/>
    </row>
    <row r="23" spans="1:9" ht="15" customHeight="1">
      <c r="A23" s="12"/>
      <c r="B23" s="6"/>
      <c r="C23" s="7" t="s">
        <v>168</v>
      </c>
      <c r="D23" s="36">
        <f>'Pool 1 Rev-Exp'!E20</f>
        <v>0</v>
      </c>
      <c r="E23" s="271">
        <v>0</v>
      </c>
      <c r="F23" s="249">
        <f aca="true" t="shared" si="2" ref="F23:F38">D23-E23</f>
        <v>0</v>
      </c>
      <c r="G23" s="272">
        <v>0</v>
      </c>
      <c r="H23" s="198">
        <f t="shared" si="1"/>
      </c>
      <c r="I23" s="198"/>
    </row>
    <row r="24" spans="1:9" ht="15" customHeight="1">
      <c r="A24" s="12"/>
      <c r="B24" s="6"/>
      <c r="C24" s="7" t="s">
        <v>169</v>
      </c>
      <c r="D24" s="36">
        <f>'Pool 1 Rev-Exp'!E21</f>
        <v>0</v>
      </c>
      <c r="E24" s="242">
        <v>0</v>
      </c>
      <c r="F24" s="249">
        <f t="shared" si="2"/>
        <v>0</v>
      </c>
      <c r="G24" s="227"/>
      <c r="H24" s="198">
        <f t="shared" si="1"/>
      </c>
      <c r="I24" s="198"/>
    </row>
    <row r="25" spans="1:9" ht="15" customHeight="1">
      <c r="A25" s="12"/>
      <c r="B25" s="6"/>
      <c r="C25" s="7" t="s">
        <v>170</v>
      </c>
      <c r="D25" s="36">
        <f>'Pool 1 Rev-Exp'!E22</f>
        <v>10500</v>
      </c>
      <c r="E25" s="242"/>
      <c r="F25" s="249">
        <f t="shared" si="2"/>
        <v>10500</v>
      </c>
      <c r="G25" s="227">
        <v>0</v>
      </c>
      <c r="H25" s="198">
        <f t="shared" si="1"/>
      </c>
      <c r="I25" s="198"/>
    </row>
    <row r="26" spans="1:9" ht="15" customHeight="1">
      <c r="A26" s="12"/>
      <c r="B26" s="6"/>
      <c r="C26" s="7" t="s">
        <v>171</v>
      </c>
      <c r="D26" s="36">
        <f>'Pool 1 Rev-Exp'!E23</f>
        <v>0</v>
      </c>
      <c r="E26" s="271">
        <v>0</v>
      </c>
      <c r="F26" s="249">
        <f t="shared" si="2"/>
        <v>0</v>
      </c>
      <c r="G26" s="227"/>
      <c r="H26" s="198">
        <f t="shared" si="1"/>
      </c>
      <c r="I26" s="198"/>
    </row>
    <row r="27" spans="1:9" ht="15" customHeight="1">
      <c r="A27" s="12"/>
      <c r="B27" s="6"/>
      <c r="C27" s="7" t="s">
        <v>172</v>
      </c>
      <c r="D27" s="36">
        <f>'Pool 1 Rev-Exp'!E24</f>
        <v>0</v>
      </c>
      <c r="E27" s="242"/>
      <c r="F27" s="249">
        <f t="shared" si="2"/>
        <v>0</v>
      </c>
      <c r="G27" s="227"/>
      <c r="H27" s="198">
        <f t="shared" si="1"/>
      </c>
      <c r="I27" s="198"/>
    </row>
    <row r="28" spans="1:9" ht="15" customHeight="1">
      <c r="A28" s="12"/>
      <c r="B28" s="6"/>
      <c r="C28" s="7" t="s">
        <v>32</v>
      </c>
      <c r="D28" s="36">
        <f>'Pool 1 Rev-Exp'!E25</f>
        <v>0</v>
      </c>
      <c r="E28" s="271">
        <v>0</v>
      </c>
      <c r="F28" s="249">
        <f t="shared" si="2"/>
        <v>0</v>
      </c>
      <c r="G28" s="227"/>
      <c r="H28" s="198">
        <f t="shared" si="1"/>
      </c>
      <c r="I28" s="198"/>
    </row>
    <row r="29" spans="1:9" ht="15" customHeight="1">
      <c r="A29" s="12"/>
      <c r="B29" s="6"/>
      <c r="C29" s="7" t="s">
        <v>33</v>
      </c>
      <c r="D29" s="36">
        <f>'Pool 1 Rev-Exp'!E26</f>
        <v>0</v>
      </c>
      <c r="E29" s="242"/>
      <c r="F29" s="249">
        <f t="shared" si="2"/>
        <v>0</v>
      </c>
      <c r="G29" s="227"/>
      <c r="H29" s="198">
        <f t="shared" si="1"/>
      </c>
      <c r="I29" s="198"/>
    </row>
    <row r="30" spans="1:9" ht="15" customHeight="1">
      <c r="A30" s="12"/>
      <c r="B30" s="6"/>
      <c r="C30" s="7" t="s">
        <v>34</v>
      </c>
      <c r="D30" s="36">
        <f>'Pool 1 Rev-Exp'!E27</f>
        <v>0</v>
      </c>
      <c r="E30" s="271">
        <v>0</v>
      </c>
      <c r="F30" s="249">
        <f t="shared" si="2"/>
        <v>0</v>
      </c>
      <c r="G30" s="227"/>
      <c r="H30" s="198">
        <f t="shared" si="1"/>
      </c>
      <c r="I30" s="198"/>
    </row>
    <row r="31" spans="1:9" ht="15" customHeight="1">
      <c r="A31" s="12"/>
      <c r="B31" s="6"/>
      <c r="C31" s="149" t="s">
        <v>184</v>
      </c>
      <c r="D31" s="36">
        <f>'Pool 1 Rev-Exp'!E28</f>
        <v>0</v>
      </c>
      <c r="E31" s="271">
        <v>0</v>
      </c>
      <c r="F31" s="249">
        <f t="shared" si="2"/>
        <v>0</v>
      </c>
      <c r="G31" s="272">
        <v>0</v>
      </c>
      <c r="H31" s="198">
        <f t="shared" si="1"/>
      </c>
      <c r="I31" s="198"/>
    </row>
    <row r="32" spans="1:9" ht="15" customHeight="1">
      <c r="A32" s="12"/>
      <c r="B32" s="89" t="s">
        <v>35</v>
      </c>
      <c r="C32" s="93"/>
      <c r="D32" s="91"/>
      <c r="E32" s="244"/>
      <c r="F32" s="251">
        <f t="shared" si="2"/>
        <v>0</v>
      </c>
      <c r="G32" s="256"/>
      <c r="H32" s="198">
        <f t="shared" si="1"/>
      </c>
      <c r="I32" s="198"/>
    </row>
    <row r="33" spans="1:9" ht="15" customHeight="1">
      <c r="A33" s="12"/>
      <c r="B33" s="6"/>
      <c r="C33" s="8" t="s">
        <v>36</v>
      </c>
      <c r="D33" s="36">
        <f>'Pool 1 Rev-Exp'!E30</f>
        <v>302182</v>
      </c>
      <c r="E33" s="242">
        <v>0</v>
      </c>
      <c r="F33" s="249">
        <f t="shared" si="2"/>
        <v>302182</v>
      </c>
      <c r="G33" s="227"/>
      <c r="H33" s="198">
        <f t="shared" si="1"/>
      </c>
      <c r="I33" s="198"/>
    </row>
    <row r="34" spans="1:9" ht="15" customHeight="1">
      <c r="A34" s="12"/>
      <c r="B34" s="6"/>
      <c r="C34" s="8" t="s">
        <v>37</v>
      </c>
      <c r="D34" s="36">
        <f>'Pool 1 Rev-Exp'!E31</f>
        <v>0</v>
      </c>
      <c r="E34" s="242"/>
      <c r="F34" s="249">
        <f t="shared" si="2"/>
        <v>0</v>
      </c>
      <c r="G34" s="227"/>
      <c r="H34" s="198">
        <f t="shared" si="1"/>
      </c>
      <c r="I34" s="198"/>
    </row>
    <row r="35" spans="1:9" ht="15" customHeight="1">
      <c r="A35" s="12"/>
      <c r="B35" s="6"/>
      <c r="C35" s="8" t="s">
        <v>38</v>
      </c>
      <c r="D35" s="36">
        <f>'Pool 1 Rev-Exp'!E32</f>
        <v>0</v>
      </c>
      <c r="E35" s="242"/>
      <c r="F35" s="249">
        <f t="shared" si="2"/>
        <v>0</v>
      </c>
      <c r="G35" s="227"/>
      <c r="H35" s="198">
        <f t="shared" si="1"/>
      </c>
      <c r="I35" s="198"/>
    </row>
    <row r="36" spans="1:9" ht="15" customHeight="1">
      <c r="A36" s="12"/>
      <c r="B36" s="6"/>
      <c r="C36" s="8" t="s">
        <v>153</v>
      </c>
      <c r="D36" s="36">
        <f>'Pool 1 Rev-Exp'!E33</f>
        <v>0</v>
      </c>
      <c r="E36" s="242"/>
      <c r="F36" s="249">
        <f t="shared" si="2"/>
        <v>0</v>
      </c>
      <c r="G36" s="227"/>
      <c r="H36" s="198">
        <f t="shared" si="1"/>
      </c>
      <c r="I36" s="198"/>
    </row>
    <row r="37" spans="1:9" ht="15" customHeight="1">
      <c r="A37" s="12"/>
      <c r="B37" s="6"/>
      <c r="C37" s="8" t="s">
        <v>100</v>
      </c>
      <c r="D37" s="36">
        <f>'Pool 1 Rev-Exp'!E34</f>
        <v>0</v>
      </c>
      <c r="E37" s="242"/>
      <c r="F37" s="249">
        <f t="shared" si="2"/>
        <v>0</v>
      </c>
      <c r="G37" s="227"/>
      <c r="H37" s="198">
        <f t="shared" si="1"/>
      </c>
      <c r="I37" s="198"/>
    </row>
    <row r="38" spans="1:9" ht="15" customHeight="1">
      <c r="A38" s="12"/>
      <c r="B38" s="6"/>
      <c r="C38" s="149" t="s">
        <v>184</v>
      </c>
      <c r="D38" s="36">
        <f>'Pool 1 Rev-Exp'!E35</f>
        <v>0</v>
      </c>
      <c r="E38" s="271"/>
      <c r="F38" s="249">
        <f t="shared" si="2"/>
        <v>0</v>
      </c>
      <c r="G38" s="272">
        <v>0</v>
      </c>
      <c r="H38" s="198">
        <f t="shared" si="1"/>
      </c>
      <c r="I38" s="198"/>
    </row>
    <row r="39" spans="1:9" ht="15" customHeight="1">
      <c r="A39" s="12"/>
      <c r="B39" s="89" t="s">
        <v>101</v>
      </c>
      <c r="C39" s="90"/>
      <c r="D39" s="91"/>
      <c r="E39" s="244"/>
      <c r="F39" s="251"/>
      <c r="G39" s="256"/>
      <c r="H39" s="198">
        <f t="shared" si="1"/>
      </c>
      <c r="I39" s="198"/>
    </row>
    <row r="40" spans="1:9" ht="15" customHeight="1">
      <c r="A40" s="12"/>
      <c r="B40" s="6"/>
      <c r="C40" s="7" t="s">
        <v>102</v>
      </c>
      <c r="D40" s="36">
        <f>'Pool 1 Rev-Exp'!E37</f>
        <v>0</v>
      </c>
      <c r="E40" s="242"/>
      <c r="F40" s="249">
        <f aca="true" t="shared" si="3" ref="F40:F48">D40-E40</f>
        <v>0</v>
      </c>
      <c r="G40" s="227"/>
      <c r="H40" s="198">
        <f t="shared" si="1"/>
      </c>
      <c r="I40" s="198"/>
    </row>
    <row r="41" spans="1:9" ht="15" customHeight="1">
      <c r="A41" s="12"/>
      <c r="B41" s="6"/>
      <c r="C41" s="7" t="s">
        <v>103</v>
      </c>
      <c r="D41" s="36">
        <f>'Pool 1 Rev-Exp'!E38</f>
        <v>0</v>
      </c>
      <c r="E41" s="242">
        <v>0</v>
      </c>
      <c r="F41" s="249">
        <f t="shared" si="3"/>
        <v>0</v>
      </c>
      <c r="G41" s="227"/>
      <c r="H41" s="198">
        <f t="shared" si="1"/>
      </c>
      <c r="I41" s="198"/>
    </row>
    <row r="42" spans="1:9" ht="15" customHeight="1">
      <c r="A42" s="12"/>
      <c r="B42" s="6"/>
      <c r="C42" s="7" t="s">
        <v>104</v>
      </c>
      <c r="D42" s="36">
        <f>'Pool 1 Rev-Exp'!E39</f>
        <v>140000</v>
      </c>
      <c r="E42" s="242"/>
      <c r="F42" s="249">
        <f t="shared" si="3"/>
        <v>140000</v>
      </c>
      <c r="G42" s="227"/>
      <c r="H42" s="198">
        <f t="shared" si="1"/>
      </c>
      <c r="I42" s="198"/>
    </row>
    <row r="43" spans="1:9" ht="15" customHeight="1">
      <c r="A43" s="12"/>
      <c r="B43" s="6"/>
      <c r="C43" s="7" t="s">
        <v>105</v>
      </c>
      <c r="D43" s="36">
        <f>'Pool 1 Rev-Exp'!E40</f>
        <v>0</v>
      </c>
      <c r="E43" s="242"/>
      <c r="F43" s="249">
        <f t="shared" si="3"/>
        <v>0</v>
      </c>
      <c r="G43" s="227"/>
      <c r="H43" s="198">
        <f t="shared" si="1"/>
      </c>
      <c r="I43" s="198"/>
    </row>
    <row r="44" spans="1:9" ht="15" customHeight="1">
      <c r="A44" s="12"/>
      <c r="B44" s="6"/>
      <c r="C44" s="7" t="s">
        <v>106</v>
      </c>
      <c r="D44" s="36">
        <f>'Pool 1 Rev-Exp'!E41</f>
        <v>0</v>
      </c>
      <c r="E44" s="242"/>
      <c r="F44" s="249">
        <f t="shared" si="3"/>
        <v>0</v>
      </c>
      <c r="G44" s="227"/>
      <c r="H44" s="198">
        <f t="shared" si="1"/>
      </c>
      <c r="I44" s="198"/>
    </row>
    <row r="45" spans="1:9" ht="15" customHeight="1">
      <c r="A45" s="12"/>
      <c r="B45" s="6"/>
      <c r="C45" s="7" t="s">
        <v>107</v>
      </c>
      <c r="D45" s="36">
        <f>'Pool 1 Rev-Exp'!E42</f>
        <v>0</v>
      </c>
      <c r="E45" s="242"/>
      <c r="F45" s="249">
        <f t="shared" si="3"/>
        <v>0</v>
      </c>
      <c r="G45" s="227"/>
      <c r="H45" s="198">
        <f t="shared" si="1"/>
      </c>
      <c r="I45" s="198"/>
    </row>
    <row r="46" spans="1:9" ht="15" customHeight="1">
      <c r="A46" s="12"/>
      <c r="B46" s="6"/>
      <c r="C46" s="7" t="s">
        <v>108</v>
      </c>
      <c r="D46" s="36">
        <f>'Pool 1 Rev-Exp'!E43</f>
        <v>0</v>
      </c>
      <c r="E46" s="242"/>
      <c r="F46" s="249">
        <f t="shared" si="3"/>
        <v>0</v>
      </c>
      <c r="G46" s="227"/>
      <c r="H46" s="198">
        <f t="shared" si="1"/>
      </c>
      <c r="I46" s="198"/>
    </row>
    <row r="47" spans="1:9" ht="15" customHeight="1">
      <c r="A47" s="12"/>
      <c r="B47" s="6"/>
      <c r="C47" s="7" t="s">
        <v>109</v>
      </c>
      <c r="D47" s="36">
        <f>'Pool 1 Rev-Exp'!E44</f>
        <v>0</v>
      </c>
      <c r="E47" s="242"/>
      <c r="F47" s="249">
        <f t="shared" si="3"/>
        <v>0</v>
      </c>
      <c r="G47" s="227"/>
      <c r="H47" s="198">
        <f t="shared" si="1"/>
      </c>
      <c r="I47" s="198"/>
    </row>
    <row r="48" spans="1:9" ht="15" customHeight="1">
      <c r="A48" s="12"/>
      <c r="B48" s="6"/>
      <c r="C48" s="149" t="s">
        <v>184</v>
      </c>
      <c r="D48" s="36">
        <f>'Pool 1 Rev-Exp'!E45</f>
        <v>0</v>
      </c>
      <c r="E48" s="271">
        <v>0</v>
      </c>
      <c r="F48" s="249">
        <f t="shared" si="3"/>
        <v>0</v>
      </c>
      <c r="G48" s="227"/>
      <c r="H48" s="198">
        <f aca="true" t="shared" si="4" ref="H48:H79">IF(G48&gt;F48,"Subsidy Money Cannot Exceed Excluded Revenue","")</f>
      </c>
      <c r="I48" s="198"/>
    </row>
    <row r="49" spans="1:9" ht="15" customHeight="1">
      <c r="A49" s="12"/>
      <c r="B49" s="89" t="s">
        <v>110</v>
      </c>
      <c r="C49" s="90"/>
      <c r="D49" s="91"/>
      <c r="E49" s="244"/>
      <c r="F49" s="251"/>
      <c r="G49" s="256"/>
      <c r="H49" s="198">
        <f t="shared" si="4"/>
      </c>
      <c r="I49" s="198"/>
    </row>
    <row r="50" spans="1:9" ht="15" customHeight="1">
      <c r="A50" s="12"/>
      <c r="B50" s="6"/>
      <c r="C50" s="7" t="s">
        <v>111</v>
      </c>
      <c r="D50" s="36">
        <f>'Pool 1 Rev-Exp'!E47</f>
        <v>183085</v>
      </c>
      <c r="E50" s="242">
        <v>0</v>
      </c>
      <c r="F50" s="249">
        <f>D50-E50</f>
        <v>183085</v>
      </c>
      <c r="G50" s="227"/>
      <c r="H50" s="198">
        <f t="shared" si="4"/>
      </c>
      <c r="I50" s="198"/>
    </row>
    <row r="51" spans="1:9" ht="15" customHeight="1">
      <c r="A51" s="12"/>
      <c r="B51" s="6"/>
      <c r="C51" s="149" t="s">
        <v>184</v>
      </c>
      <c r="D51" s="36">
        <f>'Pool 1 Rev-Exp'!E48</f>
        <v>0</v>
      </c>
      <c r="E51" s="271">
        <v>0</v>
      </c>
      <c r="F51" s="249">
        <f>D51-E51</f>
        <v>0</v>
      </c>
      <c r="G51" s="272">
        <v>0</v>
      </c>
      <c r="H51" s="198">
        <f t="shared" si="4"/>
      </c>
      <c r="I51" s="198"/>
    </row>
    <row r="52" spans="1:9" ht="15" customHeight="1">
      <c r="A52" s="12"/>
      <c r="B52" s="89" t="s">
        <v>112</v>
      </c>
      <c r="C52" s="90"/>
      <c r="D52" s="91"/>
      <c r="E52" s="244"/>
      <c r="F52" s="251"/>
      <c r="G52" s="256"/>
      <c r="H52" s="198">
        <f t="shared" si="4"/>
      </c>
      <c r="I52" s="198"/>
    </row>
    <row r="53" spans="1:9" ht="15" customHeight="1">
      <c r="A53" s="12"/>
      <c r="B53" s="6"/>
      <c r="C53" s="10" t="s">
        <v>113</v>
      </c>
      <c r="D53" s="36">
        <f>'Pool 1 Rev-Exp'!E50</f>
        <v>0</v>
      </c>
      <c r="E53" s="242"/>
      <c r="F53" s="249">
        <f aca="true" t="shared" si="5" ref="F53:F58">D53-E53</f>
        <v>0</v>
      </c>
      <c r="G53" s="227"/>
      <c r="H53" s="198">
        <f t="shared" si="4"/>
      </c>
      <c r="I53" s="198"/>
    </row>
    <row r="54" spans="1:9" ht="15" customHeight="1">
      <c r="A54" s="12"/>
      <c r="B54" s="6"/>
      <c r="C54" s="7" t="s">
        <v>114</v>
      </c>
      <c r="D54" s="36">
        <f>'Pool 1 Rev-Exp'!E51</f>
        <v>0</v>
      </c>
      <c r="E54" s="242"/>
      <c r="F54" s="249">
        <f t="shared" si="5"/>
        <v>0</v>
      </c>
      <c r="G54" s="227"/>
      <c r="H54" s="198">
        <f t="shared" si="4"/>
      </c>
      <c r="I54" s="198"/>
    </row>
    <row r="55" spans="1:9" ht="15" customHeight="1">
      <c r="A55" s="12"/>
      <c r="B55" s="6"/>
      <c r="C55" s="7" t="s">
        <v>115</v>
      </c>
      <c r="D55" s="36">
        <f>'Pool 1 Rev-Exp'!E52</f>
        <v>0</v>
      </c>
      <c r="E55" s="242"/>
      <c r="F55" s="249">
        <f t="shared" si="5"/>
        <v>0</v>
      </c>
      <c r="G55" s="227"/>
      <c r="H55" s="198">
        <f t="shared" si="4"/>
      </c>
      <c r="I55" s="198"/>
    </row>
    <row r="56" spans="1:9" ht="15" customHeight="1">
      <c r="A56" s="12"/>
      <c r="B56" s="6"/>
      <c r="C56" s="7" t="s">
        <v>116</v>
      </c>
      <c r="D56" s="36">
        <f>'Pool 1 Rev-Exp'!E53</f>
        <v>240000</v>
      </c>
      <c r="E56" s="242"/>
      <c r="F56" s="249">
        <f t="shared" si="5"/>
        <v>240000</v>
      </c>
      <c r="G56" s="227"/>
      <c r="H56" s="198">
        <f t="shared" si="4"/>
      </c>
      <c r="I56" s="198"/>
    </row>
    <row r="57" spans="1:9" ht="15" customHeight="1">
      <c r="A57" s="12"/>
      <c r="B57" s="6"/>
      <c r="C57" s="7" t="s">
        <v>117</v>
      </c>
      <c r="D57" s="36">
        <f>'Pool 1 Rev-Exp'!E54</f>
        <v>0</v>
      </c>
      <c r="E57" s="242"/>
      <c r="F57" s="249">
        <f t="shared" si="5"/>
        <v>0</v>
      </c>
      <c r="G57" s="227"/>
      <c r="H57" s="198">
        <f t="shared" si="4"/>
      </c>
      <c r="I57" s="198"/>
    </row>
    <row r="58" spans="1:9" ht="15" customHeight="1">
      <c r="A58" s="12"/>
      <c r="B58" s="6"/>
      <c r="C58" s="149" t="s">
        <v>184</v>
      </c>
      <c r="D58" s="36">
        <f>'Pool 1 Rev-Exp'!E55</f>
        <v>0</v>
      </c>
      <c r="E58" s="271">
        <v>0</v>
      </c>
      <c r="F58" s="249">
        <f t="shared" si="5"/>
        <v>0</v>
      </c>
      <c r="G58" s="272">
        <v>0</v>
      </c>
      <c r="H58" s="198">
        <f t="shared" si="4"/>
      </c>
      <c r="I58" s="198"/>
    </row>
    <row r="59" spans="1:9" ht="15" customHeight="1">
      <c r="A59" s="12"/>
      <c r="B59" s="89" t="s">
        <v>118</v>
      </c>
      <c r="C59" s="90"/>
      <c r="D59" s="91"/>
      <c r="E59" s="244"/>
      <c r="F59" s="251"/>
      <c r="G59" s="256"/>
      <c r="H59" s="198">
        <f t="shared" si="4"/>
      </c>
      <c r="I59" s="198"/>
    </row>
    <row r="60" spans="1:9" ht="15" customHeight="1">
      <c r="A60" s="12"/>
      <c r="B60" s="6"/>
      <c r="C60" s="7" t="s">
        <v>119</v>
      </c>
      <c r="D60" s="36">
        <f>'Pool 1 Rev-Exp'!E57</f>
        <v>0</v>
      </c>
      <c r="E60" s="242"/>
      <c r="F60" s="249">
        <f>D60-E60</f>
        <v>0</v>
      </c>
      <c r="G60" s="227"/>
      <c r="H60" s="198">
        <f t="shared" si="4"/>
      </c>
      <c r="I60" s="198"/>
    </row>
    <row r="61" spans="1:9" ht="15" customHeight="1">
      <c r="A61" s="12"/>
      <c r="B61" s="6"/>
      <c r="C61" s="7" t="s">
        <v>120</v>
      </c>
      <c r="D61" s="36">
        <f>'Pool 1 Rev-Exp'!E58</f>
        <v>0</v>
      </c>
      <c r="E61" s="242"/>
      <c r="F61" s="249">
        <f>D61-E61</f>
        <v>0</v>
      </c>
      <c r="G61" s="227"/>
      <c r="H61" s="198">
        <f t="shared" si="4"/>
      </c>
      <c r="I61" s="198"/>
    </row>
    <row r="62" spans="1:9" ht="15" customHeight="1">
      <c r="A62" s="12"/>
      <c r="B62" s="6"/>
      <c r="C62" s="7" t="s">
        <v>121</v>
      </c>
      <c r="D62" s="36">
        <f>'Pool 1 Rev-Exp'!E59</f>
        <v>0</v>
      </c>
      <c r="E62" s="242"/>
      <c r="F62" s="249">
        <f>D62-E62</f>
        <v>0</v>
      </c>
      <c r="G62" s="227"/>
      <c r="H62" s="198">
        <f t="shared" si="4"/>
      </c>
      <c r="I62" s="198"/>
    </row>
    <row r="63" spans="1:9" ht="15" customHeight="1">
      <c r="A63" s="12"/>
      <c r="B63" s="6"/>
      <c r="C63" s="7" t="s">
        <v>122</v>
      </c>
      <c r="D63" s="36">
        <f>'Pool 1 Rev-Exp'!E60</f>
        <v>0</v>
      </c>
      <c r="E63" s="242"/>
      <c r="F63" s="249">
        <f>D63-E63</f>
        <v>0</v>
      </c>
      <c r="G63" s="227"/>
      <c r="H63" s="198">
        <f t="shared" si="4"/>
      </c>
      <c r="I63" s="198"/>
    </row>
    <row r="64" spans="1:9" ht="15" customHeight="1">
      <c r="A64" s="12"/>
      <c r="B64" s="6"/>
      <c r="C64" s="149" t="s">
        <v>184</v>
      </c>
      <c r="D64" s="36">
        <f>'Pool 1 Rev-Exp'!E61</f>
        <v>0</v>
      </c>
      <c r="E64" s="271">
        <v>0</v>
      </c>
      <c r="F64" s="249">
        <f>D64-E64</f>
        <v>0</v>
      </c>
      <c r="G64" s="272">
        <v>0</v>
      </c>
      <c r="H64" s="198">
        <f t="shared" si="4"/>
      </c>
      <c r="I64" s="198"/>
    </row>
    <row r="65" spans="1:9" ht="15" customHeight="1">
      <c r="A65" s="12"/>
      <c r="B65" s="89" t="s">
        <v>123</v>
      </c>
      <c r="C65" s="90"/>
      <c r="D65" s="91"/>
      <c r="E65" s="244"/>
      <c r="F65" s="251"/>
      <c r="G65" s="256"/>
      <c r="H65" s="198">
        <f t="shared" si="4"/>
      </c>
      <c r="I65" s="198"/>
    </row>
    <row r="66" spans="1:9" ht="15" customHeight="1">
      <c r="A66" s="12"/>
      <c r="B66" s="6"/>
      <c r="C66" s="10" t="s">
        <v>124</v>
      </c>
      <c r="D66" s="36">
        <f>'Pool 1 Rev-Exp'!E63</f>
        <v>0</v>
      </c>
      <c r="E66" s="242"/>
      <c r="F66" s="249">
        <f aca="true" t="shared" si="6" ref="F66:F71">D66-E66</f>
        <v>0</v>
      </c>
      <c r="G66" s="227"/>
      <c r="H66" s="198">
        <f t="shared" si="4"/>
      </c>
      <c r="I66" s="198"/>
    </row>
    <row r="67" spans="1:9" ht="15" customHeight="1">
      <c r="A67" s="12"/>
      <c r="B67" s="6"/>
      <c r="C67" s="10" t="s">
        <v>125</v>
      </c>
      <c r="D67" s="36">
        <f>'Pool 1 Rev-Exp'!E64</f>
        <v>0</v>
      </c>
      <c r="E67" s="242"/>
      <c r="F67" s="249">
        <f t="shared" si="6"/>
        <v>0</v>
      </c>
      <c r="G67" s="227"/>
      <c r="H67" s="198">
        <f t="shared" si="4"/>
      </c>
      <c r="I67" s="198"/>
    </row>
    <row r="68" spans="1:9" ht="15" customHeight="1">
      <c r="A68" s="12"/>
      <c r="B68" s="6"/>
      <c r="C68" s="10" t="s">
        <v>126</v>
      </c>
      <c r="D68" s="36">
        <f>'Pool 1 Rev-Exp'!E65</f>
        <v>1000</v>
      </c>
      <c r="E68" s="242">
        <v>0</v>
      </c>
      <c r="F68" s="249">
        <f t="shared" si="6"/>
        <v>1000</v>
      </c>
      <c r="G68" s="227"/>
      <c r="H68" s="198">
        <f t="shared" si="4"/>
      </c>
      <c r="I68" s="198"/>
    </row>
    <row r="69" spans="1:9" ht="15" customHeight="1">
      <c r="A69" s="12"/>
      <c r="B69" s="6"/>
      <c r="C69" s="10" t="s">
        <v>127</v>
      </c>
      <c r="D69" s="36">
        <f>'Pool 1 Rev-Exp'!E66</f>
        <v>0</v>
      </c>
      <c r="E69" s="242"/>
      <c r="F69" s="249">
        <f t="shared" si="6"/>
        <v>0</v>
      </c>
      <c r="G69" s="227"/>
      <c r="H69" s="198">
        <f t="shared" si="4"/>
      </c>
      <c r="I69" s="198"/>
    </row>
    <row r="70" spans="1:9" ht="15" customHeight="1">
      <c r="A70" s="12"/>
      <c r="B70" s="6"/>
      <c r="C70" s="10" t="s">
        <v>128</v>
      </c>
      <c r="D70" s="36">
        <f>'Pool 1 Rev-Exp'!E67</f>
        <v>0</v>
      </c>
      <c r="E70" s="242"/>
      <c r="F70" s="249">
        <f t="shared" si="6"/>
        <v>0</v>
      </c>
      <c r="G70" s="227"/>
      <c r="H70" s="198">
        <f t="shared" si="4"/>
      </c>
      <c r="I70" s="198"/>
    </row>
    <row r="71" spans="1:9" ht="15" customHeight="1">
      <c r="A71" s="12"/>
      <c r="B71" s="6"/>
      <c r="C71" s="149" t="s">
        <v>184</v>
      </c>
      <c r="D71" s="36">
        <f>'Pool 1 Rev-Exp'!E68</f>
        <v>0</v>
      </c>
      <c r="E71" s="271">
        <v>0</v>
      </c>
      <c r="F71" s="249">
        <f t="shared" si="6"/>
        <v>0</v>
      </c>
      <c r="G71" s="272">
        <v>0</v>
      </c>
      <c r="H71" s="198">
        <f t="shared" si="4"/>
      </c>
      <c r="I71" s="198"/>
    </row>
    <row r="72" spans="1:9" ht="15" customHeight="1">
      <c r="A72" s="12"/>
      <c r="B72" s="89" t="s">
        <v>129</v>
      </c>
      <c r="C72" s="90"/>
      <c r="D72" s="91"/>
      <c r="E72" s="244"/>
      <c r="F72" s="251"/>
      <c r="G72" s="256"/>
      <c r="H72" s="198">
        <f t="shared" si="4"/>
      </c>
      <c r="I72" s="198"/>
    </row>
    <row r="73" spans="1:9" ht="15" customHeight="1">
      <c r="A73" s="12"/>
      <c r="B73" s="6"/>
      <c r="C73" s="10" t="s">
        <v>130</v>
      </c>
      <c r="D73" s="36">
        <f>'Pool 1 Rev-Exp'!E70</f>
        <v>35000</v>
      </c>
      <c r="E73" s="242">
        <v>0</v>
      </c>
      <c r="F73" s="249">
        <f>D73-E73</f>
        <v>35000</v>
      </c>
      <c r="G73" s="227"/>
      <c r="H73" s="198">
        <f t="shared" si="4"/>
      </c>
      <c r="I73" s="198"/>
    </row>
    <row r="74" spans="1:9" ht="15" customHeight="1">
      <c r="A74" s="12"/>
      <c r="B74" s="6"/>
      <c r="C74" s="10" t="s">
        <v>131</v>
      </c>
      <c r="D74" s="36">
        <f>'Pool 1 Rev-Exp'!E71</f>
        <v>0</v>
      </c>
      <c r="E74" s="242"/>
      <c r="F74" s="249">
        <f>D74-E74</f>
        <v>0</v>
      </c>
      <c r="G74" s="227"/>
      <c r="H74" s="198">
        <f t="shared" si="4"/>
      </c>
      <c r="I74" s="198"/>
    </row>
    <row r="75" spans="1:9" ht="15" customHeight="1">
      <c r="A75" s="12"/>
      <c r="B75" s="6"/>
      <c r="C75" s="10" t="s">
        <v>117</v>
      </c>
      <c r="D75" s="36">
        <f>'Pool 1 Rev-Exp'!E72</f>
        <v>0</v>
      </c>
      <c r="E75" s="242"/>
      <c r="F75" s="249">
        <f>D75-E75</f>
        <v>0</v>
      </c>
      <c r="G75" s="227"/>
      <c r="H75" s="198">
        <f t="shared" si="4"/>
      </c>
      <c r="I75" s="198"/>
    </row>
    <row r="76" spans="1:9" ht="15" customHeight="1">
      <c r="A76" s="12"/>
      <c r="B76" s="6"/>
      <c r="C76" s="149" t="s">
        <v>184</v>
      </c>
      <c r="D76" s="36">
        <f>'Pool 1 Rev-Exp'!E73</f>
        <v>0</v>
      </c>
      <c r="E76" s="271">
        <v>0</v>
      </c>
      <c r="F76" s="249">
        <f>D76-E76</f>
        <v>0</v>
      </c>
      <c r="G76" s="272">
        <v>0</v>
      </c>
      <c r="H76" s="198">
        <f t="shared" si="4"/>
      </c>
      <c r="I76" s="198"/>
    </row>
    <row r="77" spans="1:9" ht="15" customHeight="1">
      <c r="A77" s="12"/>
      <c r="B77" s="89" t="s">
        <v>132</v>
      </c>
      <c r="C77" s="90"/>
      <c r="D77" s="91"/>
      <c r="E77" s="244"/>
      <c r="F77" s="251"/>
      <c r="G77" s="256"/>
      <c r="H77" s="198">
        <f t="shared" si="4"/>
      </c>
      <c r="I77" s="198"/>
    </row>
    <row r="78" spans="1:9" ht="15" customHeight="1">
      <c r="A78" s="12"/>
      <c r="B78" s="6"/>
      <c r="C78" s="10" t="s">
        <v>133</v>
      </c>
      <c r="D78" s="36">
        <f>'Pool 1 Rev-Exp'!E75</f>
        <v>0</v>
      </c>
      <c r="E78" s="242"/>
      <c r="F78" s="249">
        <f>D78-E78</f>
        <v>0</v>
      </c>
      <c r="G78" s="227"/>
      <c r="H78" s="198">
        <f t="shared" si="4"/>
      </c>
      <c r="I78" s="198"/>
    </row>
    <row r="79" spans="1:9" ht="15" customHeight="1">
      <c r="A79" s="12"/>
      <c r="B79" s="6"/>
      <c r="C79" s="10" t="s">
        <v>134</v>
      </c>
      <c r="D79" s="36">
        <f>'Pool 1 Rev-Exp'!E76</f>
        <v>0</v>
      </c>
      <c r="E79" s="242"/>
      <c r="F79" s="249">
        <f>D79-E79</f>
        <v>0</v>
      </c>
      <c r="G79" s="227"/>
      <c r="H79" s="198">
        <f t="shared" si="4"/>
      </c>
      <c r="I79" s="198"/>
    </row>
    <row r="80" spans="1:9" ht="15" customHeight="1">
      <c r="A80" s="12"/>
      <c r="B80" s="6"/>
      <c r="C80" s="149" t="s">
        <v>184</v>
      </c>
      <c r="D80" s="36">
        <f>'Pool 1 Rev-Exp'!E77</f>
        <v>0</v>
      </c>
      <c r="E80" s="271">
        <v>0</v>
      </c>
      <c r="F80" s="249">
        <f>D80-E80</f>
        <v>0</v>
      </c>
      <c r="G80" s="272">
        <v>0</v>
      </c>
      <c r="H80" s="198">
        <f aca="true" t="shared" si="7" ref="H80:H92">IF(G80&gt;F80,"Subsidy Money Cannot Exceed Excluded Revenue","")</f>
      </c>
      <c r="I80" s="198"/>
    </row>
    <row r="81" spans="1:9" ht="15" customHeight="1">
      <c r="A81" s="12"/>
      <c r="B81" s="89" t="s">
        <v>135</v>
      </c>
      <c r="C81" s="90"/>
      <c r="D81" s="91"/>
      <c r="E81" s="244"/>
      <c r="F81" s="251"/>
      <c r="G81" s="256"/>
      <c r="H81" s="198">
        <f t="shared" si="7"/>
      </c>
      <c r="I81" s="198"/>
    </row>
    <row r="82" spans="1:9" ht="15" customHeight="1">
      <c r="A82" s="12"/>
      <c r="B82" s="6"/>
      <c r="C82" s="7" t="s">
        <v>136</v>
      </c>
      <c r="D82" s="36">
        <f>'Pool 1 Rev-Exp'!E79</f>
        <v>0</v>
      </c>
      <c r="E82" s="242"/>
      <c r="F82" s="249">
        <f>D82-E82</f>
        <v>0</v>
      </c>
      <c r="G82" s="227"/>
      <c r="H82" s="198">
        <f t="shared" si="7"/>
      </c>
      <c r="I82" s="198"/>
    </row>
    <row r="83" spans="1:9" ht="15" customHeight="1">
      <c r="A83" s="12"/>
      <c r="B83" s="6"/>
      <c r="C83" s="7" t="s">
        <v>117</v>
      </c>
      <c r="D83" s="36">
        <f>'Pool 1 Rev-Exp'!E80</f>
        <v>0</v>
      </c>
      <c r="E83" s="242"/>
      <c r="F83" s="249">
        <f>D83-E83</f>
        <v>0</v>
      </c>
      <c r="G83" s="227"/>
      <c r="H83" s="198">
        <f t="shared" si="7"/>
      </c>
      <c r="I83" s="198"/>
    </row>
    <row r="84" spans="1:9" ht="15" customHeight="1">
      <c r="A84" s="12"/>
      <c r="B84" s="6"/>
      <c r="C84" s="149" t="s">
        <v>184</v>
      </c>
      <c r="D84" s="36">
        <f>'Pool 1 Rev-Exp'!E81</f>
        <v>0</v>
      </c>
      <c r="E84" s="271">
        <v>0</v>
      </c>
      <c r="F84" s="249">
        <f>D84-E84</f>
        <v>0</v>
      </c>
      <c r="G84" s="272">
        <v>0</v>
      </c>
      <c r="H84" s="198">
        <f t="shared" si="7"/>
      </c>
      <c r="I84" s="198"/>
    </row>
    <row r="85" spans="1:9" ht="15" customHeight="1">
      <c r="A85" s="12"/>
      <c r="B85" s="89" t="s">
        <v>137</v>
      </c>
      <c r="C85" s="90"/>
      <c r="D85" s="91"/>
      <c r="E85" s="244"/>
      <c r="F85" s="251"/>
      <c r="G85" s="256"/>
      <c r="H85" s="198">
        <f t="shared" si="7"/>
      </c>
      <c r="I85" s="198"/>
    </row>
    <row r="86" spans="1:9" ht="15" customHeight="1">
      <c r="A86" s="12"/>
      <c r="B86" s="6"/>
      <c r="C86" s="7" t="s">
        <v>138</v>
      </c>
      <c r="D86" s="36">
        <f>'Pool 1 Rev-Exp'!E83</f>
        <v>0</v>
      </c>
      <c r="E86" s="242"/>
      <c r="F86" s="249">
        <f>D86-E86</f>
        <v>0</v>
      </c>
      <c r="G86" s="227"/>
      <c r="H86" s="198">
        <f t="shared" si="7"/>
      </c>
      <c r="I86" s="198"/>
    </row>
    <row r="87" spans="1:9" ht="15" customHeight="1">
      <c r="A87" s="12"/>
      <c r="B87" s="6"/>
      <c r="C87" s="149" t="s">
        <v>184</v>
      </c>
      <c r="D87" s="36">
        <f>'Pool 1 Rev-Exp'!E84</f>
        <v>0</v>
      </c>
      <c r="E87" s="271">
        <v>0</v>
      </c>
      <c r="F87" s="249">
        <f>D87-E87</f>
        <v>0</v>
      </c>
      <c r="G87" s="272">
        <v>0</v>
      </c>
      <c r="H87" s="198">
        <f t="shared" si="7"/>
      </c>
      <c r="I87" s="198"/>
    </row>
    <row r="88" spans="1:9" ht="15" customHeight="1">
      <c r="A88" s="12"/>
      <c r="B88" s="89" t="s">
        <v>139</v>
      </c>
      <c r="C88" s="90"/>
      <c r="D88" s="91"/>
      <c r="E88" s="244"/>
      <c r="F88" s="251"/>
      <c r="G88" s="256"/>
      <c r="H88" s="198">
        <f t="shared" si="7"/>
      </c>
      <c r="I88" s="198"/>
    </row>
    <row r="89" spans="1:9" ht="15" customHeight="1">
      <c r="A89" s="12"/>
      <c r="B89" s="6"/>
      <c r="C89" s="7">
        <f>'Pool 1 Rev-Exp'!C86</f>
        <v>0</v>
      </c>
      <c r="D89" s="36">
        <f>'Pool 1 Rev-Exp'!E86</f>
        <v>0</v>
      </c>
      <c r="E89" s="242"/>
      <c r="F89" s="249">
        <f>D89-E89</f>
        <v>0</v>
      </c>
      <c r="G89" s="227"/>
      <c r="H89" s="198">
        <f t="shared" si="7"/>
      </c>
      <c r="I89" s="198"/>
    </row>
    <row r="90" spans="1:9" ht="15" customHeight="1">
      <c r="A90" s="12"/>
      <c r="B90" s="6"/>
      <c r="C90" s="7" t="str">
        <f>'Pool 1 Rev-Exp'!C87</f>
        <v>Local Non-govt</v>
      </c>
      <c r="D90" s="36">
        <f>'Pool 1 Rev-Exp'!E87</f>
        <v>0</v>
      </c>
      <c r="E90" s="242"/>
      <c r="F90" s="249">
        <f>D90-E90</f>
        <v>0</v>
      </c>
      <c r="G90" s="227"/>
      <c r="H90" s="198">
        <f t="shared" si="7"/>
      </c>
      <c r="I90" s="198"/>
    </row>
    <row r="91" spans="1:9" ht="15" customHeight="1">
      <c r="A91" s="12"/>
      <c r="B91" s="151"/>
      <c r="C91" s="161" t="str">
        <f>'Pool 1 Rev-Exp'!C88</f>
        <v>xxxx</v>
      </c>
      <c r="D91" s="237">
        <f>'Pool 1 Rev-Exp'!E88</f>
        <v>0</v>
      </c>
      <c r="E91" s="245"/>
      <c r="F91" s="249">
        <f>D91-E91</f>
        <v>0</v>
      </c>
      <c r="G91" s="257"/>
      <c r="H91" s="198">
        <f t="shared" si="7"/>
      </c>
      <c r="I91" s="198"/>
    </row>
    <row r="92" spans="1:9" ht="15" customHeight="1" thickBot="1">
      <c r="A92" s="158"/>
      <c r="B92" s="139"/>
      <c r="C92" s="152" t="s">
        <v>184</v>
      </c>
      <c r="D92" s="238">
        <f>'Pool 1 Rev-Exp'!E89</f>
        <v>0</v>
      </c>
      <c r="E92" s="310">
        <v>0</v>
      </c>
      <c r="F92" s="252">
        <f>D92-E92</f>
        <v>0</v>
      </c>
      <c r="G92" s="311">
        <v>0</v>
      </c>
      <c r="H92" s="198">
        <f t="shared" si="7"/>
      </c>
      <c r="I92" s="198"/>
    </row>
    <row r="93" spans="1:7" ht="15" customHeight="1" thickBot="1" thickTop="1">
      <c r="A93" s="2"/>
      <c r="B93" s="19"/>
      <c r="C93" s="20" t="s">
        <v>84</v>
      </c>
      <c r="D93" s="68">
        <f>'Pool 1 Rev-Exp'!E90</f>
        <v>941767</v>
      </c>
      <c r="E93" s="68">
        <f>SUM(E16:E91)</f>
        <v>0</v>
      </c>
      <c r="F93" s="70">
        <f>SUM(F16:F91)</f>
        <v>941767</v>
      </c>
      <c r="G93" s="199">
        <f>SUM(G16:G92)</f>
        <v>0</v>
      </c>
    </row>
    <row r="94" spans="1:7" ht="15" customHeight="1" thickTop="1">
      <c r="A94" s="2"/>
      <c r="B94" s="19"/>
      <c r="C94" s="20"/>
      <c r="D94" s="81"/>
      <c r="E94" s="180"/>
      <c r="F94" s="81"/>
      <c r="G94" s="234"/>
    </row>
    <row r="95" spans="1:9" ht="27.75" customHeight="1">
      <c r="A95" s="2"/>
      <c r="B95" s="19"/>
      <c r="C95" s="20"/>
      <c r="D95" s="81"/>
      <c r="E95" s="180"/>
      <c r="F95" s="268" t="s">
        <v>59</v>
      </c>
      <c r="G95" s="235"/>
      <c r="H95" s="236"/>
      <c r="I95" s="463"/>
    </row>
    <row r="96" spans="1:5" ht="16.5" customHeight="1">
      <c r="A96" s="1"/>
      <c r="B96" s="1"/>
      <c r="C96" s="1"/>
      <c r="D96" s="1"/>
      <c r="E96" s="1"/>
    </row>
    <row r="97" spans="1:11" ht="21" customHeight="1">
      <c r="A97" s="1"/>
      <c r="B97" s="1"/>
      <c r="C97" s="1"/>
      <c r="D97" s="1"/>
      <c r="E97" s="1"/>
      <c r="J97" s="232"/>
      <c r="K97" s="233"/>
    </row>
    <row r="98" spans="1:4" ht="15.75">
      <c r="A98" s="11" t="s">
        <v>173</v>
      </c>
      <c r="B98" s="32"/>
      <c r="C98" s="32"/>
      <c r="D98" s="132"/>
    </row>
    <row r="99" spans="1:4" ht="12.75">
      <c r="A99" s="12"/>
      <c r="B99" s="33" t="s">
        <v>144</v>
      </c>
      <c r="C99" s="2"/>
      <c r="D99" s="133">
        <f>'Pool 1 Rev-Exp'!E98</f>
        <v>233902</v>
      </c>
    </row>
    <row r="100" spans="1:4" ht="12.75">
      <c r="A100" s="12"/>
      <c r="B100" s="17" t="s">
        <v>145</v>
      </c>
      <c r="C100" s="9"/>
      <c r="D100" s="134">
        <f>'Pool 1 Rev-Exp'!E99</f>
        <v>57643</v>
      </c>
    </row>
    <row r="101" spans="1:4" ht="12.75">
      <c r="A101" s="12"/>
      <c r="B101" s="17" t="s">
        <v>146</v>
      </c>
      <c r="C101" s="9"/>
      <c r="D101" s="134">
        <f>'Pool 1 Rev-Exp'!E100</f>
        <v>8284</v>
      </c>
    </row>
    <row r="102" spans="1:9" ht="15.75">
      <c r="A102" s="12"/>
      <c r="B102" s="17" t="s">
        <v>26</v>
      </c>
      <c r="C102" s="9"/>
      <c r="D102" s="134">
        <f>'Pool 1 Rev-Exp'!E101</f>
        <v>116399</v>
      </c>
      <c r="F102" s="321" t="s">
        <v>150</v>
      </c>
      <c r="G102" s="322"/>
      <c r="H102" s="323"/>
      <c r="I102" s="460"/>
    </row>
    <row r="103" spans="1:10" ht="15.75">
      <c r="A103" s="12"/>
      <c r="B103" s="17" t="s">
        <v>27</v>
      </c>
      <c r="C103" s="9"/>
      <c r="D103" s="134">
        <f>'Pool 1 Rev-Exp'!E102</f>
        <v>14076</v>
      </c>
      <c r="E103" s="67"/>
      <c r="F103" s="324" t="s">
        <v>93</v>
      </c>
      <c r="G103" s="325"/>
      <c r="H103" s="326"/>
      <c r="I103" s="460"/>
      <c r="J103" s="67"/>
    </row>
    <row r="104" spans="1:15" ht="14.25" customHeight="1" thickBot="1">
      <c r="A104" s="12"/>
      <c r="B104" s="17" t="s">
        <v>28</v>
      </c>
      <c r="C104" s="9"/>
      <c r="D104" s="134">
        <f>'Pool 1 Rev-Exp'!E103</f>
        <v>132438</v>
      </c>
      <c r="F104" s="329"/>
      <c r="G104" s="327"/>
      <c r="H104" s="328"/>
      <c r="I104" s="455"/>
      <c r="O104" s="508" t="str">
        <f>IF(J106=2,"Specify Contracted Expenditures for EXCLUDED Revenue Miles","Leave Cell Below Blank")</f>
        <v>Leave Cell Below Blank</v>
      </c>
    </row>
    <row r="105" spans="1:15" ht="17.25" customHeight="1" thickTop="1">
      <c r="A105" s="12"/>
      <c r="B105" s="17" t="s">
        <v>29</v>
      </c>
      <c r="C105" s="9"/>
      <c r="D105" s="134">
        <f>'Pool 1 Rev-Exp'!E104</f>
        <v>6200</v>
      </c>
      <c r="F105" s="136"/>
      <c r="G105" s="88"/>
      <c r="H105" s="258"/>
      <c r="I105" s="88"/>
      <c r="L105" s="312"/>
      <c r="O105" s="509"/>
    </row>
    <row r="106" spans="1:15" ht="18.75" customHeight="1">
      <c r="A106" s="12"/>
      <c r="B106" s="17" t="s">
        <v>45</v>
      </c>
      <c r="C106" s="9"/>
      <c r="D106" s="134">
        <f>'Pool 1 Rev-Exp'!E105</f>
        <v>0</v>
      </c>
      <c r="F106" s="136"/>
      <c r="G106" s="87" t="s">
        <v>92</v>
      </c>
      <c r="H106" s="359">
        <v>453748</v>
      </c>
      <c r="I106" s="456"/>
      <c r="J106" s="459">
        <v>1</v>
      </c>
      <c r="K106" s="439" t="s">
        <v>206</v>
      </c>
      <c r="L106" s="313"/>
      <c r="O106" s="509"/>
    </row>
    <row r="107" spans="1:16" ht="16.5" customHeight="1">
      <c r="A107" s="12"/>
      <c r="B107" s="9"/>
      <c r="C107" s="299" t="s">
        <v>82</v>
      </c>
      <c r="D107" s="134">
        <f>'Pool 1 Rev-Exp'!E106</f>
        <v>0</v>
      </c>
      <c r="F107" s="136"/>
      <c r="G107" s="87" t="s">
        <v>200</v>
      </c>
      <c r="H107" s="259">
        <f>D122</f>
        <v>951983</v>
      </c>
      <c r="I107" s="457"/>
      <c r="J107" s="452"/>
      <c r="K107" s="439" t="s">
        <v>207</v>
      </c>
      <c r="L107" s="313"/>
      <c r="O107" s="462"/>
      <c r="P107" s="461">
        <f>H107-O107</f>
        <v>951983</v>
      </c>
    </row>
    <row r="108" spans="1:16" ht="16.5" customHeight="1">
      <c r="A108" s="12"/>
      <c r="B108" s="9"/>
      <c r="C108" s="18" t="s">
        <v>52</v>
      </c>
      <c r="D108" s="134">
        <f>'Pool 1 Rev-Exp'!E107</f>
        <v>0</v>
      </c>
      <c r="F108" s="260"/>
      <c r="G108" s="106" t="s">
        <v>178</v>
      </c>
      <c r="H108" s="261">
        <f>IF(H106=0,0,(H107-O107)/H106)</f>
        <v>2.0980434073538614</v>
      </c>
      <c r="I108" s="458"/>
      <c r="L108" s="264"/>
      <c r="O108" s="510" t="str">
        <f>IF(J110=2,"Specify Contracted Expenditures for EXCLUDED Pass. Trips","Leave Cell Below Blank")</f>
        <v>Leave Cell Below Blank</v>
      </c>
      <c r="P108" s="445"/>
    </row>
    <row r="109" spans="1:16" ht="15.75">
      <c r="A109" s="12"/>
      <c r="B109" s="9"/>
      <c r="C109" s="166" t="s">
        <v>186</v>
      </c>
      <c r="D109" s="134">
        <f>'Pool 1 Rev-Exp'!E108</f>
        <v>105801</v>
      </c>
      <c r="F109" s="136"/>
      <c r="G109" s="88"/>
      <c r="H109" s="258"/>
      <c r="I109" s="163"/>
      <c r="L109" s="43"/>
      <c r="O109" s="511"/>
      <c r="P109" s="445"/>
    </row>
    <row r="110" spans="1:16" ht="16.5" customHeight="1">
      <c r="A110" s="12"/>
      <c r="B110" s="9"/>
      <c r="C110" s="18" t="s">
        <v>117</v>
      </c>
      <c r="D110" s="134">
        <f>'Pool 1 Rev-Exp'!E109</f>
        <v>0</v>
      </c>
      <c r="F110" s="136"/>
      <c r="G110" s="87" t="s">
        <v>91</v>
      </c>
      <c r="H110" s="359">
        <v>43044</v>
      </c>
      <c r="I110" s="456"/>
      <c r="J110" s="459">
        <v>1</v>
      </c>
      <c r="K110" s="439" t="s">
        <v>208</v>
      </c>
      <c r="L110" s="43"/>
      <c r="O110" s="511"/>
      <c r="P110" s="445"/>
    </row>
    <row r="111" spans="1:16" ht="16.5" customHeight="1">
      <c r="A111" s="12"/>
      <c r="B111" s="17" t="s">
        <v>46</v>
      </c>
      <c r="C111" s="9"/>
      <c r="D111" s="134">
        <f>'Pool 1 Rev-Exp'!E110+'Pool 1 Rev-Exp'!E111+'Pool 1 Rev-Exp'!E112</f>
        <v>100637</v>
      </c>
      <c r="F111" s="136"/>
      <c r="G111" s="87" t="s">
        <v>201</v>
      </c>
      <c r="H111" s="259">
        <f>D122</f>
        <v>951983</v>
      </c>
      <c r="I111" s="457"/>
      <c r="J111" s="452"/>
      <c r="K111" s="439" t="s">
        <v>209</v>
      </c>
      <c r="L111" s="43"/>
      <c r="O111" s="462"/>
      <c r="P111" s="461">
        <f>H111-O111</f>
        <v>951983</v>
      </c>
    </row>
    <row r="112" spans="1:16" ht="17.25" customHeight="1">
      <c r="A112" s="12"/>
      <c r="B112" s="17" t="s">
        <v>47</v>
      </c>
      <c r="C112" s="9"/>
      <c r="D112" s="134">
        <f>'Pool 1 Rev-Exp'!E113</f>
        <v>22292</v>
      </c>
      <c r="F112" s="262"/>
      <c r="G112" s="263" t="s">
        <v>177</v>
      </c>
      <c r="H112" s="261">
        <f>IF(H110=0,0,(H111-O111)/H110)</f>
        <v>22.116508688783572</v>
      </c>
      <c r="I112" s="458"/>
      <c r="L112" s="264"/>
      <c r="P112" s="445"/>
    </row>
    <row r="113" spans="1:6" ht="14.25" customHeight="1">
      <c r="A113" s="12"/>
      <c r="B113" s="17" t="s">
        <v>48</v>
      </c>
      <c r="C113" s="9"/>
      <c r="D113" s="134">
        <f>'Pool 1 Rev-Exp'!E114</f>
        <v>75529</v>
      </c>
      <c r="E113" s="88"/>
      <c r="F113" s="88"/>
    </row>
    <row r="114" spans="1:9" ht="15">
      <c r="A114" s="12"/>
      <c r="B114" s="17" t="s">
        <v>49</v>
      </c>
      <c r="C114" s="9"/>
      <c r="D114" s="134">
        <f>'Pool 1 Rev-Exp'!E115</f>
        <v>4986</v>
      </c>
      <c r="E114" s="86"/>
      <c r="F114" s="270" t="s">
        <v>42</v>
      </c>
      <c r="G114" s="269"/>
      <c r="H114" s="269"/>
      <c r="I114" s="269"/>
    </row>
    <row r="115" spans="1:6" ht="12.75">
      <c r="A115" s="12"/>
      <c r="B115" s="17" t="s">
        <v>50</v>
      </c>
      <c r="C115" s="9"/>
      <c r="D115" s="134">
        <f>'Pool 1 Rev-Exp'!E116</f>
        <v>0</v>
      </c>
      <c r="E115" s="86"/>
      <c r="F115" s="86"/>
    </row>
    <row r="116" spans="1:6" ht="12.75">
      <c r="A116" s="12"/>
      <c r="B116" s="17" t="s">
        <v>51</v>
      </c>
      <c r="C116" s="130"/>
      <c r="D116" s="134">
        <f>'Pool 1 Rev-Exp'!E117</f>
        <v>73796</v>
      </c>
      <c r="E116" s="1"/>
      <c r="F116" s="1"/>
    </row>
    <row r="117" spans="1:9" ht="24.75" customHeight="1">
      <c r="A117" s="34"/>
      <c r="B117" s="483" t="s">
        <v>25</v>
      </c>
      <c r="C117" s="484"/>
      <c r="D117" s="135">
        <f>'Pool 1 Rev-Exp'!E118</f>
        <v>0</v>
      </c>
      <c r="E117" s="1"/>
      <c r="F117" s="449" t="s">
        <v>43</v>
      </c>
      <c r="G117" s="162"/>
      <c r="H117" s="448"/>
      <c r="I117" s="448"/>
    </row>
    <row r="118" spans="1:9" ht="18.75" customHeight="1">
      <c r="A118" s="2"/>
      <c r="B118" s="19"/>
      <c r="C118" s="20" t="s">
        <v>80</v>
      </c>
      <c r="D118" s="182">
        <f>SUM(D99:D117)</f>
        <v>951983</v>
      </c>
      <c r="E118" s="1"/>
      <c r="F118" s="447"/>
      <c r="G118" s="106" t="s">
        <v>178</v>
      </c>
      <c r="H118" s="451">
        <f>IF(H106=0,0,(H107-O107+G93)/H106)</f>
        <v>2.0980434073538614</v>
      </c>
      <c r="I118" s="451"/>
    </row>
    <row r="119" spans="1:9" ht="16.5" thickBot="1">
      <c r="A119" s="2"/>
      <c r="B119" s="19"/>
      <c r="C119" s="178" t="s">
        <v>77</v>
      </c>
      <c r="D119" s="315">
        <f>E93</f>
        <v>0</v>
      </c>
      <c r="E119" s="1"/>
      <c r="F119" s="446"/>
      <c r="G119" s="263" t="s">
        <v>177</v>
      </c>
      <c r="H119" s="451">
        <f>IF(H110=0,0,(H111-O111+G93)/H110)</f>
        <v>22.116508688783572</v>
      </c>
      <c r="I119" s="451"/>
    </row>
    <row r="120" spans="1:10" ht="27" thickBot="1" thickTop="1">
      <c r="A120" s="2"/>
      <c r="C120" s="192" t="s">
        <v>79</v>
      </c>
      <c r="D120" s="316">
        <f>D118-D119</f>
        <v>951983</v>
      </c>
      <c r="F120" s="450"/>
      <c r="J120" s="86"/>
    </row>
    <row r="121" spans="1:9" ht="18" customHeight="1" thickBot="1" thickTop="1">
      <c r="A121" s="2"/>
      <c r="B121" s="19"/>
      <c r="C121" s="87" t="s">
        <v>179</v>
      </c>
      <c r="D121" s="317">
        <f>'Pool 1 Rev-Exp'!D95</f>
        <v>0</v>
      </c>
      <c r="H121" s="314"/>
      <c r="I121" s="314"/>
    </row>
    <row r="122" spans="1:9" ht="15.75" customHeight="1" thickTop="1">
      <c r="A122" s="1"/>
      <c r="B122" s="1"/>
      <c r="C122" s="177" t="s">
        <v>147</v>
      </c>
      <c r="D122" s="318">
        <f>D120+D121</f>
        <v>951983</v>
      </c>
      <c r="H122" s="314"/>
      <c r="I122" s="314"/>
    </row>
    <row r="123" spans="3:5" ht="15.75" customHeight="1">
      <c r="C123" s="1"/>
      <c r="E123" s="1"/>
    </row>
    <row r="124" spans="2:6" ht="36.75" customHeight="1">
      <c r="B124" s="319" t="s">
        <v>44</v>
      </c>
      <c r="C124" s="320"/>
      <c r="D124" s="320"/>
      <c r="E124" s="148"/>
      <c r="F124" s="179"/>
    </row>
    <row r="126" ht="15">
      <c r="A126" s="55" t="s">
        <v>180</v>
      </c>
    </row>
  </sheetData>
  <sheetProtection selectLockedCells="1"/>
  <mergeCells count="7">
    <mergeCell ref="O104:O106"/>
    <mergeCell ref="O108:O110"/>
    <mergeCell ref="B6:M6"/>
    <mergeCell ref="B117:C117"/>
    <mergeCell ref="E8:E12"/>
    <mergeCell ref="F8:F12"/>
    <mergeCell ref="G8:G12"/>
  </mergeCells>
  <printOptions horizontalCentered="1" verticalCentered="1"/>
  <pageMargins left="0.64" right="0.53" top="0.56" bottom="0.61" header="0.39" footer="0.4"/>
  <pageSetup cellComments="asDisplayed" horizontalDpi="600" verticalDpi="600" orientation="portrait" scale="40" r:id="rId3"/>
  <headerFooter alignWithMargins="0">
    <oddFooter>&amp;L&amp;"Arial,Regular"&amp;F:  &amp;A&amp;C&amp;R&amp;"Arial,Regular"Page &amp;P of &amp;N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98"/>
  <sheetViews>
    <sheetView showGridLines="0" zoomScale="80" zoomScaleNormal="80" zoomScaleSheetLayoutView="100" workbookViewId="0" topLeftCell="A1">
      <selection activeCell="G85" sqref="G85"/>
    </sheetView>
  </sheetViews>
  <sheetFormatPr defaultColWidth="9.00390625" defaultRowHeight="12.75"/>
  <cols>
    <col min="1" max="1" width="15.75390625" style="0" customWidth="1"/>
    <col min="2" max="2" width="10.625" style="0" customWidth="1"/>
    <col min="3" max="3" width="34.50390625" style="0" customWidth="1"/>
    <col min="4" max="4" width="1.75390625" style="0" customWidth="1"/>
    <col min="5" max="5" width="13.125" style="0" customWidth="1"/>
    <col min="6" max="6" width="2.125" style="0" customWidth="1"/>
    <col min="7" max="11" width="12.875" style="0" customWidth="1"/>
    <col min="12" max="12" width="14.75390625" style="0" customWidth="1"/>
    <col min="13" max="16384" width="11.00390625" style="0" customWidth="1"/>
  </cols>
  <sheetData>
    <row r="1" spans="1:2" s="1" customFormat="1" ht="24" customHeight="1">
      <c r="A1" s="116" t="s">
        <v>68</v>
      </c>
      <c r="B1" s="3"/>
    </row>
    <row r="2" spans="2:3" s="1" customFormat="1" ht="18">
      <c r="B2" s="112" t="s">
        <v>69</v>
      </c>
      <c r="C2" s="46" t="str">
        <f>'Pool Designation'!D7</f>
        <v>CTD (or Generic)</v>
      </c>
    </row>
    <row r="3" spans="1:13" ht="12.75">
      <c r="A3" s="122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.75" customHeight="1">
      <c r="A4" s="1"/>
      <c r="B4" s="12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.75" customHeight="1">
      <c r="A5" s="1"/>
      <c r="B5" s="12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75" customHeight="1">
      <c r="A6" s="124" t="s">
        <v>71</v>
      </c>
      <c r="B6" s="518" t="s">
        <v>15</v>
      </c>
      <c r="C6" s="519"/>
      <c r="D6" s="519"/>
      <c r="E6" s="519"/>
      <c r="F6" s="519"/>
      <c r="G6" s="519"/>
      <c r="H6" s="519"/>
      <c r="I6" s="519"/>
      <c r="J6" s="519"/>
      <c r="K6" s="519"/>
      <c r="L6" s="1"/>
      <c r="M6" s="1"/>
    </row>
    <row r="7" spans="1:13" ht="18.75" customHeight="1">
      <c r="A7" s="128" t="s">
        <v>72</v>
      </c>
      <c r="B7" s="127" t="s">
        <v>7</v>
      </c>
      <c r="C7" s="125"/>
      <c r="D7" s="125"/>
      <c r="E7" s="125"/>
      <c r="F7" s="125"/>
      <c r="G7" s="125"/>
      <c r="H7" s="125"/>
      <c r="I7" s="125"/>
      <c r="J7" s="125"/>
      <c r="K7" s="125"/>
      <c r="L7" s="1"/>
      <c r="M7" s="1"/>
    </row>
    <row r="8" spans="1:13" ht="22.5" customHeight="1">
      <c r="A8" s="128" t="s">
        <v>73</v>
      </c>
      <c r="B8" s="127" t="s">
        <v>187</v>
      </c>
      <c r="C8" s="330"/>
      <c r="D8" s="330"/>
      <c r="E8" s="330"/>
      <c r="F8" s="330"/>
      <c r="G8" s="330"/>
      <c r="H8" s="330"/>
      <c r="I8" s="330"/>
      <c r="J8" s="330"/>
      <c r="K8" s="330"/>
      <c r="L8" s="1"/>
      <c r="M8" s="1"/>
    </row>
    <row r="9" spans="1:11" ht="9.75" customHeight="1" thickBot="1">
      <c r="A9" s="108"/>
      <c r="B9" s="108"/>
      <c r="C9" s="109"/>
      <c r="D9" s="109"/>
      <c r="E9" s="110"/>
      <c r="F9" s="110"/>
      <c r="G9" s="110"/>
      <c r="H9" s="110"/>
      <c r="I9" s="110"/>
      <c r="J9" s="110"/>
      <c r="K9" s="108"/>
    </row>
    <row r="10" spans="1:13" ht="11.25" customHeight="1">
      <c r="A10" s="1"/>
      <c r="C10" s="1"/>
      <c r="D10" s="1"/>
      <c r="E10" s="1"/>
      <c r="F10" s="1"/>
      <c r="G10" s="437"/>
      <c r="H10" s="1"/>
      <c r="I10" s="1"/>
      <c r="J10" s="1"/>
      <c r="K10" s="1"/>
      <c r="L10" s="1"/>
      <c r="M10" s="1"/>
    </row>
    <row r="11" spans="1:13" ht="18">
      <c r="A11" s="113" t="s">
        <v>94</v>
      </c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38"/>
      <c r="D12" s="38"/>
      <c r="E12" s="44"/>
      <c r="F12" s="44"/>
      <c r="G12" s="1"/>
      <c r="H12" s="1"/>
      <c r="I12" s="1"/>
      <c r="J12" s="1"/>
      <c r="K12" s="1"/>
      <c r="L12" s="1"/>
      <c r="M12" s="1"/>
    </row>
    <row r="13" spans="1:13" ht="12.75">
      <c r="A13" s="26"/>
      <c r="B13" s="28"/>
      <c r="C13" s="47"/>
      <c r="D13" s="47"/>
      <c r="E13" s="48"/>
      <c r="F13" s="48"/>
      <c r="G13" s="28"/>
      <c r="H13" s="28"/>
      <c r="I13" s="28"/>
      <c r="J13" s="28"/>
      <c r="K13" s="49"/>
      <c r="L13" s="1"/>
      <c r="M13" s="1"/>
    </row>
    <row r="14" spans="1:13" ht="15.75">
      <c r="A14" s="12"/>
      <c r="B14" s="50" t="s">
        <v>8</v>
      </c>
      <c r="C14" s="2"/>
      <c r="D14" s="2"/>
      <c r="E14" s="2"/>
      <c r="F14" s="2"/>
      <c r="G14" s="2"/>
      <c r="H14" s="2"/>
      <c r="I14" s="2"/>
      <c r="J14" s="2"/>
      <c r="K14" s="21"/>
      <c r="L14" s="1"/>
      <c r="M14" s="1"/>
    </row>
    <row r="15" spans="1:13" ht="9" customHeight="1">
      <c r="A15" s="12"/>
      <c r="B15" s="50"/>
      <c r="C15" s="2"/>
      <c r="D15" s="2"/>
      <c r="E15" s="2"/>
      <c r="F15" s="2"/>
      <c r="G15" s="2"/>
      <c r="H15" s="2"/>
      <c r="I15" s="2"/>
      <c r="J15" s="2"/>
      <c r="K15" s="21"/>
      <c r="L15" s="1"/>
      <c r="M15" s="1"/>
    </row>
    <row r="16" spans="1:13" ht="31.5">
      <c r="A16" s="338"/>
      <c r="B16" s="331" t="s">
        <v>64</v>
      </c>
      <c r="C16" s="2"/>
      <c r="D16" s="2"/>
      <c r="E16" s="2"/>
      <c r="G16" s="51" t="s">
        <v>160</v>
      </c>
      <c r="H16" s="51" t="s">
        <v>157</v>
      </c>
      <c r="I16" s="121" t="s">
        <v>161</v>
      </c>
      <c r="J16" s="51" t="s">
        <v>60</v>
      </c>
      <c r="K16" s="21"/>
      <c r="L16" s="1"/>
      <c r="M16" s="1"/>
    </row>
    <row r="17" spans="1:13" ht="15">
      <c r="A17" s="338"/>
      <c r="B17" s="332">
        <v>0.3</v>
      </c>
      <c r="C17" s="276" t="s">
        <v>10</v>
      </c>
      <c r="D17" s="87"/>
      <c r="E17" s="2"/>
      <c r="F17" s="54"/>
      <c r="G17" s="54"/>
      <c r="H17" s="54"/>
      <c r="I17" s="54"/>
      <c r="J17" s="54"/>
      <c r="K17" s="21"/>
      <c r="L17" s="1"/>
      <c r="M17" s="1"/>
    </row>
    <row r="18" spans="1:13" ht="12.75">
      <c r="A18" s="338"/>
      <c r="B18" s="333"/>
      <c r="C18" s="2"/>
      <c r="E18" s="87" t="s">
        <v>62</v>
      </c>
      <c r="F18" s="282"/>
      <c r="G18" s="277">
        <v>7</v>
      </c>
      <c r="H18" s="277">
        <v>12</v>
      </c>
      <c r="I18" s="277">
        <v>25</v>
      </c>
      <c r="J18" s="277">
        <v>10</v>
      </c>
      <c r="K18" s="21"/>
      <c r="L18" s="1"/>
      <c r="M18" s="1"/>
    </row>
    <row r="19" spans="1:13" ht="13.5" thickBot="1">
      <c r="A19" s="338"/>
      <c r="B19" s="333"/>
      <c r="C19" s="2"/>
      <c r="E19" s="87" t="s">
        <v>63</v>
      </c>
      <c r="F19" s="282"/>
      <c r="G19" s="278">
        <v>7</v>
      </c>
      <c r="H19" s="278">
        <v>12</v>
      </c>
      <c r="I19" s="278">
        <v>25</v>
      </c>
      <c r="J19" s="278">
        <v>10</v>
      </c>
      <c r="K19" s="21"/>
      <c r="L19" s="1"/>
      <c r="M19" s="1"/>
    </row>
    <row r="20" spans="1:13" ht="13.5" thickTop="1">
      <c r="A20" s="338"/>
      <c r="B20" s="333"/>
      <c r="C20" s="2"/>
      <c r="E20" s="274" t="s">
        <v>61</v>
      </c>
      <c r="F20" s="275"/>
      <c r="G20" s="279">
        <f>SUM(G18:G19)/60</f>
        <v>0.23333333333333334</v>
      </c>
      <c r="H20" s="279">
        <f>SUM(H18:H19)/60</f>
        <v>0.4</v>
      </c>
      <c r="I20" s="279">
        <f>SUM(I18:I19)/60</f>
        <v>0.8333333333333334</v>
      </c>
      <c r="J20" s="279">
        <f>SUM(J18:J19)/60</f>
        <v>0.3333333333333333</v>
      </c>
      <c r="K20" s="21"/>
      <c r="L20" s="1"/>
      <c r="M20" s="1"/>
    </row>
    <row r="21" spans="1:13" ht="12.75">
      <c r="A21" s="338"/>
      <c r="B21" s="333"/>
      <c r="C21" s="2"/>
      <c r="E21" s="274" t="s">
        <v>210</v>
      </c>
      <c r="F21" s="275"/>
      <c r="G21" s="275"/>
      <c r="H21" s="275"/>
      <c r="I21" s="275"/>
      <c r="J21" s="275"/>
      <c r="K21" s="21"/>
      <c r="L21" s="1"/>
      <c r="M21" s="1"/>
    </row>
    <row r="22" spans="1:13" ht="12.75">
      <c r="A22" s="338"/>
      <c r="B22" s="333"/>
      <c r="C22" s="2"/>
      <c r="E22" s="87" t="s">
        <v>13</v>
      </c>
      <c r="F22" s="275"/>
      <c r="G22" s="275">
        <v>1</v>
      </c>
      <c r="H22" s="275">
        <f>IF($G$20=0,0,H20/$G$20)</f>
        <v>1.7142857142857144</v>
      </c>
      <c r="I22" s="275">
        <f>IF($G$20=0,0,I20/$G$20)</f>
        <v>3.5714285714285716</v>
      </c>
      <c r="J22" s="275">
        <f>IF($G$20=0,0,J20/$G$20)</f>
        <v>1.4285714285714284</v>
      </c>
      <c r="K22" s="21"/>
      <c r="L22" s="1"/>
      <c r="M22" s="1"/>
    </row>
    <row r="23" spans="1:13" ht="12.75">
      <c r="A23" s="338"/>
      <c r="B23" s="333"/>
      <c r="C23" s="2"/>
      <c r="E23" s="274"/>
      <c r="F23" s="275"/>
      <c r="G23" s="275"/>
      <c r="H23" s="275"/>
      <c r="I23" s="275"/>
      <c r="J23" s="275"/>
      <c r="K23" s="21"/>
      <c r="L23" s="1"/>
      <c r="M23" s="1"/>
    </row>
    <row r="24" spans="1:13" ht="15">
      <c r="A24" s="338"/>
      <c r="B24" s="332">
        <v>0.7</v>
      </c>
      <c r="C24" s="276" t="s">
        <v>182</v>
      </c>
      <c r="E24" s="274"/>
      <c r="F24" s="275"/>
      <c r="G24" s="275"/>
      <c r="H24" s="275"/>
      <c r="I24" s="275"/>
      <c r="J24" s="275"/>
      <c r="K24" s="21"/>
      <c r="L24" s="1"/>
      <c r="M24" s="1"/>
    </row>
    <row r="25" spans="1:13" ht="15">
      <c r="A25" s="338"/>
      <c r="B25" s="334"/>
      <c r="C25" s="276"/>
      <c r="E25" s="274" t="s">
        <v>191</v>
      </c>
      <c r="F25" s="282"/>
      <c r="G25" s="282"/>
      <c r="H25" s="282"/>
      <c r="I25" s="282"/>
      <c r="J25" s="277">
        <v>68307</v>
      </c>
      <c r="K25" s="21"/>
      <c r="L25" s="1"/>
      <c r="M25" s="1"/>
    </row>
    <row r="26" spans="1:13" ht="12.75">
      <c r="A26" s="338"/>
      <c r="C26" s="2"/>
      <c r="E26" s="193" t="s">
        <v>211</v>
      </c>
      <c r="F26" s="282"/>
      <c r="G26" s="282"/>
      <c r="H26" s="282"/>
      <c r="I26" s="282"/>
      <c r="J26" s="476">
        <v>7200</v>
      </c>
      <c r="K26" s="21"/>
      <c r="L26" s="1"/>
      <c r="M26" s="1"/>
    </row>
    <row r="27" spans="1:13" s="285" customFormat="1" ht="13.5" thickBot="1">
      <c r="A27" s="339"/>
      <c r="B27" s="335"/>
      <c r="C27" s="280"/>
      <c r="E27" s="281" t="s">
        <v>212</v>
      </c>
      <c r="F27" s="275"/>
      <c r="G27" s="275"/>
      <c r="H27" s="275"/>
      <c r="I27" s="275"/>
      <c r="J27" s="275">
        <f>IF(J26=0,0,J25/J26)</f>
        <v>9.487083333333333</v>
      </c>
      <c r="K27" s="283" t="s">
        <v>213</v>
      </c>
      <c r="L27" s="284"/>
      <c r="M27" s="284"/>
    </row>
    <row r="28" spans="1:11" ht="15.75" customHeight="1" thickTop="1">
      <c r="A28" s="338"/>
      <c r="B28" s="336">
        <f>SUM(B17,B24)</f>
        <v>1</v>
      </c>
      <c r="C28" s="2"/>
      <c r="E28" s="87" t="s">
        <v>17</v>
      </c>
      <c r="F28" s="432"/>
      <c r="G28" s="275">
        <v>1</v>
      </c>
      <c r="H28" s="275">
        <f>IF(H22=0,0,1)</f>
        <v>1</v>
      </c>
      <c r="I28" s="275">
        <f>IF(I22=0,0,1)</f>
        <v>1</v>
      </c>
      <c r="J28" s="275">
        <f>IF(J25=0,0,J26/J25)</f>
        <v>0.10540647371426062</v>
      </c>
      <c r="K28" s="21"/>
    </row>
    <row r="29" spans="1:11" ht="13.5" customHeight="1">
      <c r="A29" s="338"/>
      <c r="B29" s="337">
        <f>IF(B28=1,"","Factor Weight Must Total 100%")</f>
      </c>
      <c r="C29" s="2"/>
      <c r="E29" s="87"/>
      <c r="F29" s="432"/>
      <c r="G29" s="52"/>
      <c r="H29" s="52"/>
      <c r="I29" s="52"/>
      <c r="J29" s="52"/>
      <c r="K29" s="21"/>
    </row>
    <row r="30" spans="1:11" ht="12.75">
      <c r="A30" s="338"/>
      <c r="B30" s="2"/>
      <c r="C30" s="2"/>
      <c r="E30" s="87" t="s">
        <v>16</v>
      </c>
      <c r="F30" s="433"/>
      <c r="G30" s="286">
        <f>(G22*$B$17)+(G28*$B$24)</f>
        <v>1</v>
      </c>
      <c r="H30" s="286">
        <f>(H22*$B$17)+(H28*$B$24)</f>
        <v>1.2142857142857144</v>
      </c>
      <c r="I30" s="286">
        <f>(I22*$B$17)+(I28*$B$24)</f>
        <v>1.7714285714285714</v>
      </c>
      <c r="J30" s="286">
        <f>(J22*$B$17)+(J28*$B$24)</f>
        <v>0.5023559601714109</v>
      </c>
      <c r="K30" s="21"/>
    </row>
    <row r="31" spans="1:11" ht="12.75">
      <c r="A31" s="34"/>
      <c r="B31" s="23"/>
      <c r="C31" s="66"/>
      <c r="D31" s="53"/>
      <c r="E31" s="23"/>
      <c r="F31" s="434"/>
      <c r="G31" s="23"/>
      <c r="H31" s="23"/>
      <c r="I31" s="23"/>
      <c r="J31" s="23"/>
      <c r="K31" s="25"/>
    </row>
    <row r="32" spans="1:11" ht="12.75">
      <c r="A32" s="2"/>
      <c r="B32" s="2"/>
      <c r="C32" s="51"/>
      <c r="D32" s="51"/>
      <c r="E32" s="2"/>
      <c r="F32" s="221"/>
      <c r="G32" s="2"/>
      <c r="H32" s="2"/>
      <c r="I32" s="2"/>
      <c r="J32" s="2"/>
      <c r="K32" s="2"/>
    </row>
    <row r="33" spans="1:13" ht="12.75">
      <c r="A33" s="26"/>
      <c r="B33" s="28"/>
      <c r="C33" s="47"/>
      <c r="D33" s="47"/>
      <c r="E33" s="48"/>
      <c r="F33" s="435"/>
      <c r="G33" s="28"/>
      <c r="H33" s="28"/>
      <c r="I33" s="28"/>
      <c r="J33" s="28"/>
      <c r="K33" s="49"/>
      <c r="L33" s="1"/>
      <c r="M33" s="1"/>
    </row>
    <row r="34" spans="1:13" ht="15.75">
      <c r="A34" s="12"/>
      <c r="B34" s="50" t="s">
        <v>9</v>
      </c>
      <c r="C34" s="2"/>
      <c r="D34" s="2"/>
      <c r="E34" s="2"/>
      <c r="F34" s="221"/>
      <c r="G34" s="2"/>
      <c r="H34" s="2"/>
      <c r="I34" s="2"/>
      <c r="J34" s="2"/>
      <c r="K34" s="21"/>
      <c r="L34" s="1"/>
      <c r="M34" s="1"/>
    </row>
    <row r="35" spans="1:13" ht="15.75">
      <c r="A35" s="12"/>
      <c r="B35" s="50"/>
      <c r="C35" s="2"/>
      <c r="D35" s="2"/>
      <c r="E35" s="2"/>
      <c r="F35" s="221"/>
      <c r="G35" s="2"/>
      <c r="H35" s="2"/>
      <c r="I35" s="2"/>
      <c r="J35" s="2"/>
      <c r="K35" s="21"/>
      <c r="L35" s="1"/>
      <c r="M35" s="1"/>
    </row>
    <row r="36" spans="1:13" ht="31.5">
      <c r="A36" s="338"/>
      <c r="B36" s="331" t="s">
        <v>64</v>
      </c>
      <c r="C36" s="2"/>
      <c r="D36" s="2"/>
      <c r="E36" s="2"/>
      <c r="F36" s="405"/>
      <c r="G36" s="51" t="s">
        <v>160</v>
      </c>
      <c r="H36" s="51" t="s">
        <v>157</v>
      </c>
      <c r="I36" s="121" t="s">
        <v>161</v>
      </c>
      <c r="J36" s="51" t="s">
        <v>60</v>
      </c>
      <c r="K36" s="21"/>
      <c r="L36" s="1"/>
      <c r="M36" s="1"/>
    </row>
    <row r="37" spans="1:13" ht="15">
      <c r="A37" s="338"/>
      <c r="B37" s="332"/>
      <c r="C37" s="276" t="s">
        <v>11</v>
      </c>
      <c r="D37" s="2"/>
      <c r="E37" s="2"/>
      <c r="F37" s="436"/>
      <c r="G37" s="51"/>
      <c r="H37" s="51"/>
      <c r="I37" s="121"/>
      <c r="J37" s="51"/>
      <c r="K37" s="21"/>
      <c r="L37" s="1"/>
      <c r="M37" s="1"/>
    </row>
    <row r="38" spans="1:13" ht="12.75">
      <c r="A38" s="338"/>
      <c r="B38" s="333"/>
      <c r="C38" s="2"/>
      <c r="E38" s="87" t="s">
        <v>175</v>
      </c>
      <c r="F38" s="275"/>
      <c r="G38" s="273"/>
      <c r="H38" s="273"/>
      <c r="I38" s="273"/>
      <c r="J38" s="273"/>
      <c r="K38" s="21"/>
      <c r="L38" s="1"/>
      <c r="M38" s="1"/>
    </row>
    <row r="39" spans="1:13" ht="12.75">
      <c r="A39" s="338"/>
      <c r="B39" s="333"/>
      <c r="C39" s="2"/>
      <c r="E39" s="87" t="s">
        <v>13</v>
      </c>
      <c r="F39" s="275"/>
      <c r="G39" s="275">
        <v>1</v>
      </c>
      <c r="H39" s="275">
        <f>IF($G$38=0,0,H38/$G$38)</f>
        <v>0</v>
      </c>
      <c r="I39" s="275">
        <f>IF($G$38=0,0,I38/$G$38)</f>
        <v>0</v>
      </c>
      <c r="J39" s="275">
        <f>IF($G$38=0,0,J38/$G$38)</f>
        <v>0</v>
      </c>
      <c r="K39" s="21"/>
      <c r="L39" s="1"/>
      <c r="M39" s="1"/>
    </row>
    <row r="40" spans="1:13" ht="12.75">
      <c r="A40" s="338"/>
      <c r="B40" s="333"/>
      <c r="C40" s="2"/>
      <c r="E40" s="87"/>
      <c r="F40" s="275"/>
      <c r="G40" s="275"/>
      <c r="H40" s="275"/>
      <c r="I40" s="275"/>
      <c r="J40" s="275"/>
      <c r="K40" s="21"/>
      <c r="L40" s="1"/>
      <c r="M40" s="1"/>
    </row>
    <row r="41" spans="1:13" ht="15">
      <c r="A41" s="338"/>
      <c r="B41" s="332"/>
      <c r="C41" s="276" t="s">
        <v>12</v>
      </c>
      <c r="E41" s="87"/>
      <c r="F41" s="275"/>
      <c r="G41" s="54"/>
      <c r="H41" s="54"/>
      <c r="I41" s="54"/>
      <c r="J41" s="54"/>
      <c r="K41" s="21"/>
      <c r="L41" s="1"/>
      <c r="M41" s="1"/>
    </row>
    <row r="42" spans="1:13" ht="12.75">
      <c r="A42" s="338"/>
      <c r="B42" s="333"/>
      <c r="C42" s="2"/>
      <c r="E42" s="87" t="s">
        <v>62</v>
      </c>
      <c r="F42" s="282"/>
      <c r="G42" s="282">
        <f aca="true" t="shared" si="0" ref="G42:J43">G18</f>
        <v>7</v>
      </c>
      <c r="H42" s="282">
        <f t="shared" si="0"/>
        <v>12</v>
      </c>
      <c r="I42" s="282">
        <f t="shared" si="0"/>
        <v>25</v>
      </c>
      <c r="J42" s="282">
        <f t="shared" si="0"/>
        <v>10</v>
      </c>
      <c r="K42" s="21"/>
      <c r="L42" s="1"/>
      <c r="M42" s="1"/>
    </row>
    <row r="43" spans="1:13" ht="13.5" thickBot="1">
      <c r="A43" s="338"/>
      <c r="B43" s="333"/>
      <c r="C43" s="2"/>
      <c r="E43" s="87" t="s">
        <v>63</v>
      </c>
      <c r="F43" s="282"/>
      <c r="G43" s="295">
        <f t="shared" si="0"/>
        <v>7</v>
      </c>
      <c r="H43" s="295">
        <f t="shared" si="0"/>
        <v>12</v>
      </c>
      <c r="I43" s="295">
        <f t="shared" si="0"/>
        <v>25</v>
      </c>
      <c r="J43" s="295">
        <f t="shared" si="0"/>
        <v>10</v>
      </c>
      <c r="K43" s="21"/>
      <c r="L43" s="1"/>
      <c r="M43" s="1"/>
    </row>
    <row r="44" spans="1:13" ht="13.5" thickTop="1">
      <c r="A44" s="338"/>
      <c r="B44" s="333"/>
      <c r="C44" s="2"/>
      <c r="E44" s="274" t="s">
        <v>61</v>
      </c>
      <c r="F44" s="275"/>
      <c r="G44" s="279">
        <f>SUM(G42:G43)/60</f>
        <v>0.23333333333333334</v>
      </c>
      <c r="H44" s="279">
        <f>SUM(H42:H43)/60</f>
        <v>0.4</v>
      </c>
      <c r="I44" s="279">
        <f>SUM(I42:I43)/60</f>
        <v>0.8333333333333334</v>
      </c>
      <c r="J44" s="279">
        <f>SUM(J42:J43)/60</f>
        <v>0.3333333333333333</v>
      </c>
      <c r="K44" s="21"/>
      <c r="L44" s="1"/>
      <c r="M44" s="1"/>
    </row>
    <row r="45" spans="1:13" ht="12.75">
      <c r="A45" s="338"/>
      <c r="B45" s="333"/>
      <c r="C45" s="2"/>
      <c r="E45" s="274" t="s">
        <v>210</v>
      </c>
      <c r="F45" s="275"/>
      <c r="G45" s="275"/>
      <c r="H45" s="275"/>
      <c r="I45" s="275"/>
      <c r="J45" s="275"/>
      <c r="K45" s="21"/>
      <c r="L45" s="1"/>
      <c r="M45" s="1"/>
    </row>
    <row r="46" spans="1:13" ht="12.75">
      <c r="A46" s="338"/>
      <c r="B46" s="333"/>
      <c r="C46" s="2"/>
      <c r="E46" s="87" t="s">
        <v>14</v>
      </c>
      <c r="F46" s="275"/>
      <c r="G46" s="275">
        <v>1</v>
      </c>
      <c r="H46" s="275">
        <f>IF($G$20=0,0,H44/$G$20)</f>
        <v>1.7142857142857144</v>
      </c>
      <c r="I46" s="275">
        <f>IF($G$20=0,0,I44/$G$20)</f>
        <v>3.5714285714285716</v>
      </c>
      <c r="J46" s="275">
        <f>IF($G$20=0,0,J44/$G$20)</f>
        <v>1.4285714285714284</v>
      </c>
      <c r="K46" s="21"/>
      <c r="L46" s="1"/>
      <c r="M46" s="1"/>
    </row>
    <row r="47" spans="1:13" ht="12.75">
      <c r="A47" s="338"/>
      <c r="B47" s="333"/>
      <c r="C47" s="2"/>
      <c r="E47" s="274"/>
      <c r="F47" s="275"/>
      <c r="G47" s="275"/>
      <c r="H47" s="275"/>
      <c r="I47" s="275"/>
      <c r="J47" s="275"/>
      <c r="K47" s="21"/>
      <c r="L47" s="1"/>
      <c r="M47" s="1"/>
    </row>
    <row r="48" spans="1:13" ht="15">
      <c r="A48" s="338"/>
      <c r="B48" s="332"/>
      <c r="C48" s="276" t="s">
        <v>0</v>
      </c>
      <c r="E48" s="274"/>
      <c r="F48" s="275"/>
      <c r="G48" s="275"/>
      <c r="H48" s="275"/>
      <c r="I48" s="275"/>
      <c r="J48" s="275"/>
      <c r="K48" s="21"/>
      <c r="L48" s="1"/>
      <c r="M48" s="1"/>
    </row>
    <row r="49" spans="1:13" ht="15">
      <c r="A49" s="338"/>
      <c r="B49" s="334"/>
      <c r="C49" s="276"/>
      <c r="E49" s="274" t="s">
        <v>191</v>
      </c>
      <c r="F49" s="282"/>
      <c r="G49" s="282"/>
      <c r="H49" s="282"/>
      <c r="I49" s="282"/>
      <c r="J49" s="282">
        <f>J25</f>
        <v>68307</v>
      </c>
      <c r="K49" s="21"/>
      <c r="L49" s="1"/>
      <c r="M49" s="1"/>
    </row>
    <row r="50" spans="1:13" ht="12.75">
      <c r="A50" s="338"/>
      <c r="C50" s="2"/>
      <c r="E50" s="193" t="s">
        <v>211</v>
      </c>
      <c r="F50" s="282"/>
      <c r="G50" s="282"/>
      <c r="H50" s="282"/>
      <c r="I50" s="282"/>
      <c r="J50" s="282">
        <f>J26</f>
        <v>7200</v>
      </c>
      <c r="K50" s="21"/>
      <c r="L50" s="1"/>
      <c r="M50" s="1"/>
    </row>
    <row r="51" spans="1:13" s="285" customFormat="1" ht="13.5" thickBot="1">
      <c r="A51" s="339"/>
      <c r="B51" s="335"/>
      <c r="C51" s="280"/>
      <c r="E51" s="281" t="s">
        <v>212</v>
      </c>
      <c r="F51" s="275"/>
      <c r="G51" s="275"/>
      <c r="H51" s="275"/>
      <c r="I51" s="275"/>
      <c r="J51" s="275">
        <f>IF(J50=0,0,J49/J50)</f>
        <v>9.487083333333333</v>
      </c>
      <c r="K51" s="283" t="s">
        <v>213</v>
      </c>
      <c r="L51" s="284"/>
      <c r="M51" s="284"/>
    </row>
    <row r="52" spans="1:11" ht="15.75" customHeight="1" thickTop="1">
      <c r="A52" s="338"/>
      <c r="B52" s="336">
        <f>SUM(B37,B41,B48)</f>
        <v>0</v>
      </c>
      <c r="C52" s="2"/>
      <c r="D52" s="87"/>
      <c r="E52" s="87" t="s">
        <v>18</v>
      </c>
      <c r="F52" s="432"/>
      <c r="G52" s="275">
        <v>1</v>
      </c>
      <c r="H52" s="275">
        <f>IF(H22=0,0,1)</f>
        <v>1</v>
      </c>
      <c r="I52" s="275">
        <f>IF(I22=0,0,1)</f>
        <v>1</v>
      </c>
      <c r="J52" s="275">
        <f>IF(J49=0,0,J50/J49)</f>
        <v>0.10540647371426062</v>
      </c>
      <c r="K52" s="21"/>
    </row>
    <row r="53" spans="1:11" ht="16.5" customHeight="1">
      <c r="A53" s="338"/>
      <c r="B53" s="466" t="str">
        <f>IF(B52=1,"","Factor Weight Must Total 100%")</f>
        <v>Factor Weight Must Total 100%</v>
      </c>
      <c r="C53" s="2"/>
      <c r="D53" s="87"/>
      <c r="E53" s="22"/>
      <c r="F53" s="432"/>
      <c r="G53" s="52"/>
      <c r="H53" s="52"/>
      <c r="I53" s="52"/>
      <c r="J53" s="52"/>
      <c r="K53" s="21"/>
    </row>
    <row r="54" spans="1:11" ht="12.75">
      <c r="A54" s="338"/>
      <c r="B54" s="2"/>
      <c r="C54" s="2"/>
      <c r="D54" s="87"/>
      <c r="E54" s="87" t="s">
        <v>16</v>
      </c>
      <c r="F54" s="433"/>
      <c r="G54" s="286">
        <f>(G39*$B$37)+(G46*$B$41)+(G52*$B$48)</f>
        <v>0</v>
      </c>
      <c r="H54" s="286">
        <f>(H39*$B$37)+(H46*$B$41)+(H52*$B$48)</f>
        <v>0</v>
      </c>
      <c r="I54" s="286">
        <f>(I39*$B$37)+(I46*$B$41)+(I52*$B$48)</f>
        <v>0</v>
      </c>
      <c r="J54" s="286">
        <f>(J39*$B$37)+(J46*$B$41)+(J52*$B$48)</f>
        <v>0</v>
      </c>
      <c r="K54" s="21"/>
    </row>
    <row r="55" spans="1:11" ht="12.75">
      <c r="A55" s="34"/>
      <c r="B55" s="23"/>
      <c r="C55" s="66"/>
      <c r="D55" s="53"/>
      <c r="E55" s="23"/>
      <c r="F55" s="23"/>
      <c r="G55" s="23"/>
      <c r="H55" s="23"/>
      <c r="I55" s="23"/>
      <c r="J55" s="23"/>
      <c r="K55" s="25"/>
    </row>
    <row r="56" spans="1:13" ht="16.5" customHeight="1" thickBot="1">
      <c r="A56" s="108"/>
      <c r="B56" s="111"/>
      <c r="C56" s="108"/>
      <c r="D56" s="108"/>
      <c r="E56" s="108"/>
      <c r="F56" s="108"/>
      <c r="G56" s="108"/>
      <c r="H56" s="108"/>
      <c r="I56" s="108"/>
      <c r="J56" s="108"/>
      <c r="K56" s="108"/>
      <c r="L56" s="1"/>
      <c r="M56" s="1"/>
    </row>
    <row r="57" spans="1:13" ht="12.75">
      <c r="A57" s="1"/>
      <c r="B57" s="10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">
      <c r="A58" s="113" t="s">
        <v>21</v>
      </c>
      <c r="B58" s="1"/>
      <c r="C58" s="1"/>
      <c r="D58" s="1"/>
      <c r="E58" s="84" t="s">
        <v>155</v>
      </c>
      <c r="F58" s="84"/>
      <c r="G58" s="84" t="s">
        <v>156</v>
      </c>
      <c r="H58" s="84"/>
      <c r="I58" s="84"/>
      <c r="J58" s="1"/>
      <c r="K58" s="1"/>
      <c r="L58" s="1"/>
      <c r="M58" s="1"/>
    </row>
    <row r="59" spans="1:13" ht="39.75" customHeight="1">
      <c r="A59" s="340" t="s">
        <v>70</v>
      </c>
      <c r="B59" s="1"/>
      <c r="C59" s="1"/>
      <c r="D59" s="1"/>
      <c r="E59" s="138" t="s">
        <v>1</v>
      </c>
      <c r="F59" s="84"/>
      <c r="G59" s="138" t="s">
        <v>2</v>
      </c>
      <c r="H59" s="138"/>
      <c r="I59" s="138"/>
      <c r="J59" s="1"/>
      <c r="K59" s="1"/>
      <c r="L59" s="1"/>
      <c r="M59" s="1"/>
    </row>
    <row r="60" spans="4:13" ht="18" customHeight="1">
      <c r="D60" s="42"/>
      <c r="E60" s="415">
        <v>1</v>
      </c>
      <c r="F60" s="45"/>
      <c r="G60" s="415" t="b">
        <v>0</v>
      </c>
      <c r="H60" s="292">
        <f>IF(AND($E60,$G60),"Select ONLY One Method","")</f>
      </c>
      <c r="I60" s="287"/>
      <c r="K60" s="1"/>
      <c r="L60" s="1"/>
      <c r="M60" s="1"/>
    </row>
    <row r="61" spans="1:13" ht="12.75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">
      <c r="A63" s="113" t="s">
        <v>22</v>
      </c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"/>
      <c r="C64" s="55"/>
      <c r="D64" s="55"/>
      <c r="E64" s="342" t="s">
        <v>160</v>
      </c>
      <c r="F64" s="342"/>
      <c r="G64" s="343" t="s">
        <v>157</v>
      </c>
      <c r="H64" s="314" t="s">
        <v>161</v>
      </c>
      <c r="I64" s="342" t="s">
        <v>60</v>
      </c>
      <c r="J64" s="143" t="s">
        <v>154</v>
      </c>
      <c r="K64" s="1"/>
      <c r="L64" s="1"/>
      <c r="M64" s="1"/>
    </row>
    <row r="65" spans="1:11" ht="19.5" customHeight="1">
      <c r="A65" s="1"/>
      <c r="B65" s="1"/>
      <c r="C65" s="293" t="s">
        <v>23</v>
      </c>
      <c r="D65" s="293"/>
      <c r="E65" s="294">
        <f>IF($E$60=1,G30,IF($E$60=2,G54,"Choose Method Above"))</f>
        <v>1</v>
      </c>
      <c r="F65" s="294"/>
      <c r="G65" s="294">
        <f>IF($E$60=1,H30,IF($E$60=2,H54,"Choose Method Above"))</f>
        <v>1.2142857142857144</v>
      </c>
      <c r="H65" s="294">
        <f>IF($E$60=1,I30,IF($E$60=2,I54,"Choose Method Above"))</f>
        <v>1.7714285714285714</v>
      </c>
      <c r="I65" s="294">
        <f>IF($E$60=1,J30,IF($E$60=2,J54,"Choose Method Above"))</f>
        <v>0.5023559601714109</v>
      </c>
      <c r="J65" s="144">
        <f>SUM(E65:I65)</f>
        <v>4.488070245885696</v>
      </c>
      <c r="K65" s="1"/>
    </row>
    <row r="66" spans="1:11" ht="15">
      <c r="A66" s="1"/>
      <c r="B66" s="1"/>
      <c r="C66" s="341" t="s">
        <v>158</v>
      </c>
      <c r="D66" s="85"/>
      <c r="E66" s="56"/>
      <c r="F66" s="56"/>
      <c r="G66" s="56"/>
      <c r="H66" s="56"/>
      <c r="I66" s="56"/>
      <c r="J66" s="56"/>
      <c r="K66" s="1"/>
    </row>
    <row r="67" spans="1:11" ht="9" customHeight="1" thickBot="1">
      <c r="A67" s="126"/>
      <c r="B67" s="108"/>
      <c r="C67" s="108"/>
      <c r="D67" s="108"/>
      <c r="E67" s="108"/>
      <c r="F67" s="108"/>
      <c r="G67" s="108"/>
      <c r="H67" s="108"/>
      <c r="I67" s="108"/>
      <c r="J67" s="126"/>
      <c r="K67" s="126"/>
    </row>
    <row r="68" spans="1:13" ht="12.75">
      <c r="A68" s="1"/>
      <c r="B68" s="1"/>
      <c r="C68" s="1"/>
      <c r="D68" s="1"/>
      <c r="E68" s="1"/>
      <c r="F68" s="1"/>
      <c r="G68" s="22"/>
      <c r="H68" s="167"/>
      <c r="I68" s="37"/>
      <c r="J68" s="37"/>
      <c r="K68" s="37"/>
      <c r="L68" s="37"/>
      <c r="M68" s="39"/>
    </row>
    <row r="69" spans="1:13" ht="4.5" customHeight="1">
      <c r="A69" s="1"/>
      <c r="B69" s="1"/>
      <c r="C69" s="1"/>
      <c r="D69" s="1"/>
      <c r="E69" s="1"/>
      <c r="F69" s="1"/>
      <c r="G69" s="38"/>
      <c r="H69" s="40"/>
      <c r="I69" s="83"/>
      <c r="J69" s="37"/>
      <c r="K69" s="399"/>
      <c r="L69" s="399"/>
      <c r="M69" s="400"/>
    </row>
    <row r="70" spans="1:13" ht="18">
      <c r="A70" s="113" t="s">
        <v>24</v>
      </c>
      <c r="B70" s="1"/>
      <c r="D70" s="1"/>
      <c r="E70" s="1"/>
      <c r="F70" s="1"/>
      <c r="G70" s="1"/>
      <c r="H70" s="1"/>
      <c r="I70" s="1"/>
      <c r="J70" s="1"/>
      <c r="K70" s="210"/>
      <c r="L70" s="210"/>
      <c r="M70" s="210"/>
    </row>
    <row r="71" spans="1:13" s="330" customFormat="1" ht="17.25" customHeight="1">
      <c r="A71" s="344" t="s">
        <v>71</v>
      </c>
      <c r="B71" s="127" t="s">
        <v>202</v>
      </c>
      <c r="C71" s="429"/>
      <c r="D71" s="127"/>
      <c r="E71" s="127"/>
      <c r="F71" s="127"/>
      <c r="G71" s="127"/>
      <c r="H71" s="118"/>
      <c r="I71" s="118"/>
      <c r="J71" s="118"/>
      <c r="K71" s="212"/>
      <c r="L71" s="212"/>
      <c r="M71" s="212"/>
    </row>
    <row r="72" spans="1:13" ht="17.25" customHeight="1">
      <c r="A72" s="120"/>
      <c r="B72" s="122"/>
      <c r="C72" s="123"/>
      <c r="D72" s="122"/>
      <c r="E72" s="122"/>
      <c r="F72" s="122"/>
      <c r="G72" s="122"/>
      <c r="H72" s="1"/>
      <c r="I72" s="1"/>
      <c r="J72" s="1"/>
      <c r="K72" s="210"/>
      <c r="L72" s="210"/>
      <c r="M72" s="210"/>
    </row>
    <row r="73" spans="1:13" ht="15.75">
      <c r="A73" s="120"/>
      <c r="B73" s="1"/>
      <c r="D73" s="1"/>
      <c r="E73" s="1"/>
      <c r="F73" s="1"/>
      <c r="G73" s="290" t="s">
        <v>150</v>
      </c>
      <c r="H73" s="289"/>
      <c r="I73" s="289"/>
      <c r="J73" s="289"/>
      <c r="K73" s="401"/>
      <c r="L73" s="408"/>
      <c r="M73" s="210"/>
    </row>
    <row r="74" spans="1:13" ht="24" customHeight="1" thickBot="1">
      <c r="A74" s="1"/>
      <c r="B74" s="1"/>
      <c r="C74" s="1"/>
      <c r="D74" s="1"/>
      <c r="E74" s="288" t="s">
        <v>65</v>
      </c>
      <c r="F74" s="1"/>
      <c r="G74" s="360" t="s">
        <v>159</v>
      </c>
      <c r="H74" s="361" t="s">
        <v>157</v>
      </c>
      <c r="I74" s="361" t="s">
        <v>161</v>
      </c>
      <c r="J74" s="362" t="s">
        <v>60</v>
      </c>
      <c r="K74" s="402"/>
      <c r="L74" s="403"/>
      <c r="M74" s="210"/>
    </row>
    <row r="75" spans="1:13" ht="15.75" customHeight="1">
      <c r="A75" s="1"/>
      <c r="B75" s="1"/>
      <c r="D75" s="38" t="s">
        <v>57</v>
      </c>
      <c r="E75" s="464">
        <f>'Pool 1 Bdgtd Rate Base'!H106</f>
        <v>453748</v>
      </c>
      <c r="F75" s="41"/>
      <c r="G75" s="374">
        <v>379457</v>
      </c>
      <c r="H75" s="374">
        <v>47437</v>
      </c>
      <c r="I75" s="374">
        <v>500</v>
      </c>
      <c r="J75" s="375">
        <v>26354</v>
      </c>
      <c r="K75" s="404"/>
      <c r="L75" s="467" t="str">
        <f>IF(SUM(G75:J75)&lt;E75-1,"Does Not = Total Projected Revenue Miles",(IF(SUM(G75:J75)&gt;E75+1,"Does Not = Total Projected Revenue Miles"," ")))</f>
        <v> </v>
      </c>
      <c r="M75" s="405"/>
    </row>
    <row r="76" spans="1:13" ht="15.75">
      <c r="A76" s="1"/>
      <c r="B76" s="1"/>
      <c r="C76" s="38"/>
      <c r="D76" s="38"/>
      <c r="E76" s="42" t="s">
        <v>96</v>
      </c>
      <c r="G76" s="168">
        <f>IF(G75=0,0,((('Pool 1 Bdgtd Rate Base'!$P$107)/($G$75*$E$65+$H$75*$G$65+$I$75*$H$65+$J$75*$I$65)*E$65)))</f>
        <v>2.109966808226364</v>
      </c>
      <c r="H76" s="168">
        <f>IF(H75=0,0,((('Pool 1 Bdgtd Rate Base'!$P$107)/($G$75*$E$65+$H$75*$G$65+$I$75*$H$65+$J$75*$I$65)*G$65)))</f>
        <v>2.5621025528462993</v>
      </c>
      <c r="I76" s="168">
        <f>IF(I75=0,0,((('Pool 1 Bdgtd Rate Base'!$P$107)/($G$75*$E$65+$H$75*$G$65+$I$75*$H$65+$J$75*$I$65)*H$65)))</f>
        <v>3.7376554888581306</v>
      </c>
      <c r="J76" s="346">
        <f>IF(J75=0,0,((('Pool 1 Bdgtd Rate Base'!$P$107)/($G$75*$E$65+$H$75*$G$65+$I$75*$H$65+$J$75*$I$65)*I$65)))</f>
        <v>1.0599544018763625</v>
      </c>
      <c r="K76" s="406">
        <f>IF(J28=0,0,J76/$J$28)</f>
        <v>10.05587574013454</v>
      </c>
      <c r="L76" s="407"/>
      <c r="M76" s="408"/>
    </row>
    <row r="77" spans="1:13" ht="15.75">
      <c r="A77" s="1"/>
      <c r="B77" s="1"/>
      <c r="C77" s="38"/>
      <c r="D77" s="38"/>
      <c r="E77" s="42"/>
      <c r="G77" s="346"/>
      <c r="H77" s="347"/>
      <c r="I77" s="347"/>
      <c r="J77" s="355" t="s">
        <v>19</v>
      </c>
      <c r="K77" s="409" t="s">
        <v>20</v>
      </c>
      <c r="L77" s="438"/>
      <c r="M77" s="408"/>
    </row>
    <row r="78" spans="1:13" ht="12.75">
      <c r="A78" s="1"/>
      <c r="B78" s="1"/>
      <c r="C78" s="38"/>
      <c r="D78" s="38"/>
      <c r="E78" s="288" t="s">
        <v>65</v>
      </c>
      <c r="F78" s="41"/>
      <c r="G78" s="348"/>
      <c r="H78" s="349"/>
      <c r="I78" s="349"/>
      <c r="J78" s="387"/>
      <c r="K78" s="410"/>
      <c r="L78" s="411"/>
      <c r="M78" s="408"/>
    </row>
    <row r="79" spans="1:13" ht="21.75" customHeight="1" thickBot="1">
      <c r="A79" s="1"/>
      <c r="B79" s="1"/>
      <c r="C79" s="38"/>
      <c r="D79" s="38"/>
      <c r="E79" s="388"/>
      <c r="F79" s="41"/>
      <c r="G79" s="382" t="s">
        <v>159</v>
      </c>
      <c r="H79" s="383" t="s">
        <v>157</v>
      </c>
      <c r="I79" s="383" t="s">
        <v>161</v>
      </c>
      <c r="J79" s="384" t="s">
        <v>152</v>
      </c>
      <c r="K79" s="412"/>
      <c r="L79" s="411"/>
      <c r="M79" s="210"/>
    </row>
    <row r="80" spans="1:13" ht="14.25" customHeight="1">
      <c r="A80" s="1"/>
      <c r="B80" s="1"/>
      <c r="D80" s="38" t="s">
        <v>56</v>
      </c>
      <c r="E80" s="465">
        <f>'Pool 1 Bdgtd Rate Base'!H110</f>
        <v>43044</v>
      </c>
      <c r="F80" s="82"/>
      <c r="G80" s="374">
        <v>35994</v>
      </c>
      <c r="H80" s="374">
        <v>4500</v>
      </c>
      <c r="I80" s="374">
        <v>50</v>
      </c>
      <c r="J80" s="375">
        <v>2500</v>
      </c>
      <c r="K80" s="413"/>
      <c r="L80" s="414" t="str">
        <f>IF(SUM(G80:J80)&lt;E80-1,"Does Not = Total Projected Passenger Trips",(IF(SUM(G80:J80)&gt;E80+1,"Does Not = Total Projected Passenger Trips"," ")))</f>
        <v> </v>
      </c>
      <c r="M80" s="405"/>
    </row>
    <row r="81" spans="1:13" ht="15.75">
      <c r="A81" s="1"/>
      <c r="B81" s="1"/>
      <c r="C81" s="1"/>
      <c r="D81" s="1"/>
      <c r="E81" s="42" t="s">
        <v>95</v>
      </c>
      <c r="G81" s="168">
        <f>IF(G80=0,0,((('Pool 1 Bdgtd Rate Base'!$P$111)/($G$80*$E$65+$H$80*$G$65+$I$80*$H$65+$J$80*$I$65)*E$65)))</f>
        <v>22.241165947533137</v>
      </c>
      <c r="H81" s="170">
        <f>IF(H80=0,0,((('Pool 1 Bdgtd Rate Base'!$P$111)/($G$80*$E$65+$H$80*$G$65+$I$80*$H$65+$J$80*$I$65)*G$65)))</f>
        <v>27.007130079147384</v>
      </c>
      <c r="I81" s="169">
        <f>IF(I80=0,0,((('Pool 1 Bdgtd Rate Base'!$P$111)/($G$80*$E$65+$H$80*$G$65+$I$80*$H$65+$J$80*$I$65)*H$65)))</f>
        <v>39.39863682134441</v>
      </c>
      <c r="J81" s="347">
        <f>IF(J80=0,0,((('Pool 1 Bdgtd Rate Base'!$P$111)/($G$80*$E$65+$H$80*$G$65+$I$80*$H$65+$J$80*$I$65)*I$65)))</f>
        <v>11.172982274904697</v>
      </c>
      <c r="K81" s="406">
        <f>IF(J28=0,0,J81/$J$28)</f>
        <v>105.9990139238771</v>
      </c>
      <c r="L81" s="407"/>
      <c r="M81" s="210"/>
    </row>
    <row r="82" spans="1:13" ht="15.75">
      <c r="A82" s="1"/>
      <c r="B82" s="1"/>
      <c r="C82" s="38"/>
      <c r="D82" s="38"/>
      <c r="E82" s="42"/>
      <c r="G82" s="380"/>
      <c r="H82" s="347"/>
      <c r="I82" s="347"/>
      <c r="J82" s="355" t="s">
        <v>19</v>
      </c>
      <c r="K82" s="409" t="s">
        <v>20</v>
      </c>
      <c r="L82" s="407"/>
      <c r="M82" s="408"/>
    </row>
    <row r="83" spans="1:13" ht="18" customHeight="1" thickBot="1">
      <c r="A83" s="1"/>
      <c r="B83" s="1"/>
      <c r="C83" s="1"/>
      <c r="D83" s="1"/>
      <c r="E83" s="1"/>
      <c r="F83" s="1"/>
      <c r="G83" s="2"/>
      <c r="H83" s="2"/>
      <c r="I83" s="1"/>
      <c r="J83" s="386"/>
      <c r="K83" s="288"/>
      <c r="L83" s="1"/>
      <c r="M83" s="1"/>
    </row>
    <row r="84" spans="1:13" ht="21.75" customHeight="1" thickBot="1">
      <c r="A84" s="1"/>
      <c r="B84" s="1"/>
      <c r="C84" s="368" t="s">
        <v>3</v>
      </c>
      <c r="D84" s="369"/>
      <c r="E84" s="369"/>
      <c r="F84" s="369"/>
      <c r="G84" s="398" t="s">
        <v>159</v>
      </c>
      <c r="H84" s="391" t="s">
        <v>157</v>
      </c>
      <c r="I84" s="391" t="s">
        <v>161</v>
      </c>
      <c r="J84" s="392" t="s">
        <v>60</v>
      </c>
      <c r="K84" s="393"/>
      <c r="L84" s="1"/>
      <c r="M84" s="1"/>
    </row>
    <row r="85" spans="2:11" s="1" customFormat="1" ht="15">
      <c r="B85" s="3"/>
      <c r="C85" s="370"/>
      <c r="D85" s="2"/>
      <c r="E85" s="22" t="s">
        <v>4</v>
      </c>
      <c r="F85" s="2"/>
      <c r="G85" s="376">
        <v>6</v>
      </c>
      <c r="H85" s="376">
        <v>11</v>
      </c>
      <c r="I85" s="376">
        <v>25</v>
      </c>
      <c r="J85" s="379">
        <v>6</v>
      </c>
      <c r="K85" s="378">
        <f>J85/$J$28</f>
        <v>56.9225</v>
      </c>
    </row>
    <row r="86" spans="2:12" s="1" customFormat="1" ht="15.75" thickBot="1">
      <c r="B86" s="3"/>
      <c r="C86" s="371"/>
      <c r="D86" s="372"/>
      <c r="E86" s="373" t="s">
        <v>5</v>
      </c>
      <c r="F86" s="372"/>
      <c r="G86" s="377">
        <f>((G81*G80)-(G85*G80))/(G75)</f>
        <v>1.5405817447444843</v>
      </c>
      <c r="H86" s="377">
        <f>((H81*H80)-(H85*H80))/(H75)</f>
        <v>1.518478937457327</v>
      </c>
      <c r="I86" s="377">
        <f>((I81*I80)-(I85*I80))/(I75)</f>
        <v>1.4398636821344413</v>
      </c>
      <c r="J86" s="389">
        <f>((J81*J80)-(J85*J80))/(J75)</f>
        <v>0.49072078952954934</v>
      </c>
      <c r="K86" s="390">
        <f>J86/$J$28</f>
        <v>4.655509023665962</v>
      </c>
      <c r="L86" s="385"/>
    </row>
    <row r="87" spans="2:11" s="1" customFormat="1" ht="15.75" thickBot="1">
      <c r="B87" s="3"/>
      <c r="C87" s="2"/>
      <c r="D87" s="2"/>
      <c r="E87" s="22"/>
      <c r="F87" s="2"/>
      <c r="G87" s="381"/>
      <c r="H87" s="381"/>
      <c r="I87" s="381"/>
      <c r="J87" s="397" t="s">
        <v>19</v>
      </c>
      <c r="K87" s="394" t="s">
        <v>20</v>
      </c>
    </row>
    <row r="88" spans="2:11" ht="12.75">
      <c r="B88" s="1"/>
      <c r="C88" s="1"/>
      <c r="D88" s="1"/>
      <c r="E88" s="1"/>
      <c r="F88" s="1"/>
      <c r="G88" s="1"/>
      <c r="H88" s="1"/>
      <c r="I88" s="1"/>
      <c r="K88" s="1"/>
    </row>
    <row r="89" spans="2:11" ht="15.75">
      <c r="B89" s="1"/>
      <c r="C89" s="1"/>
      <c r="D89" s="1"/>
      <c r="E89" s="1"/>
      <c r="F89" s="1"/>
      <c r="G89" s="290" t="s">
        <v>58</v>
      </c>
      <c r="H89" s="291"/>
      <c r="I89" s="291"/>
      <c r="J89" s="345"/>
      <c r="K89" s="345"/>
    </row>
    <row r="90" spans="3:11" ht="28.5" customHeight="1" thickBot="1">
      <c r="C90" s="1"/>
      <c r="D90" s="1"/>
      <c r="E90" s="288"/>
      <c r="F90" s="1"/>
      <c r="G90" s="363" t="s">
        <v>159</v>
      </c>
      <c r="H90" s="364" t="s">
        <v>157</v>
      </c>
      <c r="I90" s="364" t="s">
        <v>161</v>
      </c>
      <c r="J90" s="365" t="s">
        <v>60</v>
      </c>
      <c r="K90" s="366"/>
    </row>
    <row r="91" spans="3:11" ht="15.75">
      <c r="C91" s="38"/>
      <c r="D91" s="38"/>
      <c r="E91" s="42" t="s">
        <v>96</v>
      </c>
      <c r="G91" s="296">
        <f>IF(G75=0,0,((('Pool 1 Bdgtd Rate Base'!$D$122+'Pool 1 Bdgtd Rate Base'!$G$93)/($G$75*$E$65+$H$75*$G$65+$I$75*$H$65+$J$75*$I$65)*E$65)))</f>
        <v>2.109966808226364</v>
      </c>
      <c r="H91" s="296">
        <f>IF(H75=0,0,((('Pool 1 Bdgtd Rate Base'!$D$122+'Pool 1 Bdgtd Rate Base'!$G$93)/($G$75*$E$65+$H$75*$G$65+$I$75*$H$65+$J$75*$I$65)*G$65)))</f>
        <v>2.5621025528462993</v>
      </c>
      <c r="I91" s="296">
        <f>IF(I75=0,0,((('Pool 1 Bdgtd Rate Base'!$D$122+'Pool 1 Bdgtd Rate Base'!$G$93)/($G$75*$E$65+$H$75*$G$65+$I$75*$H$65+$J$75*$I$65)*H$65)))</f>
        <v>3.7376554888581306</v>
      </c>
      <c r="J91" s="356">
        <f>IF(J75=0,0,((('Pool 1 Bdgtd Rate Base'!$D$122+'Pool 1 Bdgtd Rate Base'!$G$93)/($G$75*$E$65+$H$75*$G$65+$I$75*$H$65+$J$75*$I$65)*I$65)))</f>
        <v>1.0599544018763625</v>
      </c>
      <c r="K91" s="395">
        <f>J91/$J$28</f>
        <v>10.05587574013454</v>
      </c>
    </row>
    <row r="92" spans="3:11" ht="15.75">
      <c r="C92" s="38"/>
      <c r="D92" s="38"/>
      <c r="E92" s="42"/>
      <c r="G92" s="350"/>
      <c r="H92" s="351"/>
      <c r="I92" s="351"/>
      <c r="J92" s="357" t="s">
        <v>19</v>
      </c>
      <c r="K92" s="396" t="s">
        <v>20</v>
      </c>
    </row>
    <row r="93" spans="3:11" ht="12.75">
      <c r="C93" s="38"/>
      <c r="D93" s="38"/>
      <c r="E93" s="41"/>
      <c r="F93" s="41"/>
      <c r="G93" s="352"/>
      <c r="H93" s="353"/>
      <c r="I93" s="353"/>
      <c r="J93" s="353"/>
      <c r="K93" s="354"/>
    </row>
    <row r="94" spans="3:11" ht="28.5" customHeight="1" thickBot="1">
      <c r="C94" s="38"/>
      <c r="D94" s="38"/>
      <c r="E94" s="288"/>
      <c r="F94" s="41"/>
      <c r="G94" s="367" t="s">
        <v>159</v>
      </c>
      <c r="H94" s="364" t="s">
        <v>157</v>
      </c>
      <c r="I94" s="364" t="s">
        <v>161</v>
      </c>
      <c r="J94" s="365" t="s">
        <v>60</v>
      </c>
      <c r="K94" s="366"/>
    </row>
    <row r="95" spans="3:11" ht="15.75">
      <c r="C95" s="1"/>
      <c r="D95" s="1"/>
      <c r="E95" s="42" t="s">
        <v>95</v>
      </c>
      <c r="G95" s="296">
        <f>IF(G80=0,0,((('Pool 1 Bdgtd Rate Base'!$D$122+'Pool 1 Bdgtd Rate Base'!$G$93)/($G$80*$E$65+$H$80*$G$65+$I$80*$H$65+$J$80*$I$65)*E$65)))</f>
        <v>22.241165947533137</v>
      </c>
      <c r="H95" s="297">
        <f>IF(H80=0,0,((('Pool 1 Bdgtd Rate Base'!$D$122+'Pool 1 Bdgtd Rate Base'!$G$93)/($G$80*$E$65+$H$80*$G$65+$I$80*$H$65+$J$80*$I$65)*G$65)))</f>
        <v>27.007130079147384</v>
      </c>
      <c r="I95" s="298">
        <f>IF(I80=0,0,((('Pool 1 Bdgtd Rate Base'!$D$122+'Pool 1 Bdgtd Rate Base'!$G$93)/($G$80*$E$65+$H$80*$G$65+$I$80*$H$65+$J$80*$I$65)*H$65)))</f>
        <v>39.39863682134441</v>
      </c>
      <c r="J95" s="358">
        <f>IF(J80=0,0,((('Pool 1 Bdgtd Rate Base'!$D$122+'Pool 1 Bdgtd Rate Base'!$G$93)/($G$80*$E$65+$H$80*$G$65+$I$80*$H$65+$J$80*$I$65)*I$65)))</f>
        <v>11.172982274904697</v>
      </c>
      <c r="K95" s="395">
        <f>J95/$J$28</f>
        <v>105.9990139238771</v>
      </c>
    </row>
    <row r="96" spans="10:11" ht="12.75">
      <c r="J96" s="357" t="s">
        <v>19</v>
      </c>
      <c r="K96" s="396" t="s">
        <v>20</v>
      </c>
    </row>
    <row r="98" ht="15">
      <c r="A98" s="55" t="s">
        <v>66</v>
      </c>
    </row>
  </sheetData>
  <sheetProtection selectLockedCells="1"/>
  <mergeCells count="1">
    <mergeCell ref="B6:K6"/>
  </mergeCells>
  <conditionalFormatting sqref="E75">
    <cfRule type="cellIs" priority="1" dxfId="0" operator="lessThan" stopIfTrue="1">
      <formula>$G$75+$H$75+$I$75+$J$75-1</formula>
    </cfRule>
    <cfRule type="cellIs" priority="2" dxfId="0" operator="greaterThan" stopIfTrue="1">
      <formula>$G$75+$H$75+$I$75+$J$75+1</formula>
    </cfRule>
  </conditionalFormatting>
  <conditionalFormatting sqref="E80">
    <cfRule type="cellIs" priority="3" dxfId="0" operator="lessThan" stopIfTrue="1">
      <formula>$G$80+$H$80+$I$80+$J$80-1</formula>
    </cfRule>
    <cfRule type="cellIs" priority="4" dxfId="0" operator="greaterThan" stopIfTrue="1">
      <formula>$G$80+$H$80+$I$80+$J$80+1</formula>
    </cfRule>
  </conditionalFormatting>
  <printOptions horizontalCentered="1" verticalCentered="1"/>
  <pageMargins left="0.64" right="0.53" top="0.74" bottom="0.75" header="0.5" footer="0.5"/>
  <pageSetup cellComments="asDisplayed" fitToHeight="1" fitToWidth="1" horizontalDpi="1200" verticalDpi="1200" orientation="portrait" scale="43" r:id="rId2"/>
  <headerFooter alignWithMargins="0">
    <oddFooter>&amp;L&amp;"Arial,Regular"&amp;F:  &amp;A&amp;C&amp;R&amp;"Arial,Regular"Page &amp;P of &amp;N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Richardson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Richardson</dc:creator>
  <cp:keywords/>
  <dc:description/>
  <cp:lastModifiedBy>Danielle Pinkus</cp:lastModifiedBy>
  <cp:lastPrinted>2010-01-26T22:28:31Z</cp:lastPrinted>
  <dcterms:created xsi:type="dcterms:W3CDTF">2004-04-01T15:29:06Z</dcterms:created>
  <dcterms:modified xsi:type="dcterms:W3CDTF">2010-01-26T22:28:33Z</dcterms:modified>
  <cp:category/>
  <cp:version/>
  <cp:contentType/>
  <cp:contentStatus/>
</cp:coreProperties>
</file>