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10260" activeTab="0"/>
  </bookViews>
  <sheets>
    <sheet name="Generic" sheetId="1" r:id="rId1"/>
    <sheet name="Amortization" sheetId="2" r:id="rId2"/>
  </sheets>
  <definedNames>
    <definedName name="_1989BUD">'Generic'!$GU$7542</definedName>
    <definedName name="Print_Area_MI">'Generic'!$A$57:$H$131</definedName>
    <definedName name="PRINT_AREA_MI">'Generic'!$A$57:$H$131</definedName>
    <definedName name="PRINT_TITLES_MI">'Generic'!$A:$A</definedName>
  </definedNames>
  <calcPr fullCalcOnLoad="1"/>
</workbook>
</file>

<file path=xl/sharedStrings.xml><?xml version="1.0" encoding="utf-8"?>
<sst xmlns="http://schemas.openxmlformats.org/spreadsheetml/2006/main" count="261" uniqueCount="217">
  <si>
    <t>From</t>
  </si>
  <si>
    <t>7/1/96</t>
  </si>
  <si>
    <t>7/1/97</t>
  </si>
  <si>
    <t>To</t>
  </si>
  <si>
    <t>6/30/97</t>
  </si>
  <si>
    <t>6/30/98</t>
  </si>
  <si>
    <t>ASSUMPTIONS</t>
  </si>
  <si>
    <t>SALARIES</t>
  </si>
  <si>
    <t xml:space="preserve">   Drivers </t>
  </si>
  <si>
    <t>28- FTE- DRIVERS @ $7</t>
  </si>
  <si>
    <t xml:space="preserve">   Mechanics/Cleaners </t>
  </si>
  <si>
    <t>1 CLEANER FT 40 HRS PER WEEK @ $6.50</t>
  </si>
  <si>
    <t xml:space="preserve">   Supervision </t>
  </si>
  <si>
    <t>3 DISPATCH PLUS 4 ROAD SUPVISORS @ $20,000 EACH</t>
  </si>
  <si>
    <t xml:space="preserve">   Management</t>
  </si>
  <si>
    <t xml:space="preserve">   Clerical</t>
  </si>
  <si>
    <t>FRINGE BENEFITS</t>
  </si>
  <si>
    <t xml:space="preserve">   FICA</t>
  </si>
  <si>
    <t xml:space="preserve">   Workers comp.</t>
  </si>
  <si>
    <t xml:space="preserve">   Health/Life  </t>
  </si>
  <si>
    <t>$168 PER MONTH MANAGER</t>
  </si>
  <si>
    <t xml:space="preserve">   Unemplmnt comp.</t>
  </si>
  <si>
    <t>$80 PER MONTH PER SUPVERSIOR</t>
  </si>
  <si>
    <t>$80 PER MONTH PER DRIVER</t>
  </si>
  <si>
    <t xml:space="preserve">   Safety Bonuses</t>
  </si>
  <si>
    <t xml:space="preserve">   Uniforms </t>
  </si>
  <si>
    <t>$6.50 PER WEEK PER DRIVER</t>
  </si>
  <si>
    <t xml:space="preserve">   Vacation &amp; Holidays </t>
  </si>
  <si>
    <t>FACILITY</t>
  </si>
  <si>
    <t xml:space="preserve">   Rent</t>
  </si>
  <si>
    <t>Vehicle Insurance</t>
  </si>
  <si>
    <t>$2780 PER 15 PASS. VAN</t>
  </si>
  <si>
    <t xml:space="preserve">   Utilities</t>
  </si>
  <si>
    <t>$3483 PER BODY/CHASSIS</t>
  </si>
  <si>
    <t xml:space="preserve">     Electric</t>
  </si>
  <si>
    <t xml:space="preserve">     Water</t>
  </si>
  <si>
    <t xml:space="preserve">     Gas</t>
  </si>
  <si>
    <t xml:space="preserve">   Computer</t>
  </si>
  <si>
    <t xml:space="preserve">     Telephone</t>
  </si>
  <si>
    <t xml:space="preserve">     Hardware</t>
  </si>
  <si>
    <t xml:space="preserve">       Lease</t>
  </si>
  <si>
    <t xml:space="preserve">     Software</t>
  </si>
  <si>
    <t xml:space="preserve">       Line chrgs</t>
  </si>
  <si>
    <t xml:space="preserve">   Facility Supplies</t>
  </si>
  <si>
    <t xml:space="preserve">     Maintenance</t>
  </si>
  <si>
    <t>ADMINISTRATION</t>
  </si>
  <si>
    <t xml:space="preserve">       Tires</t>
  </si>
  <si>
    <t>4 MILLS PER MILE</t>
  </si>
  <si>
    <t xml:space="preserve">   Office Supplies</t>
  </si>
  <si>
    <t xml:space="preserve">       Parts</t>
  </si>
  <si>
    <t>$.013 PER MILE</t>
  </si>
  <si>
    <t xml:space="preserve">   Auditing and accounting</t>
  </si>
  <si>
    <t xml:space="preserve">       Supplies</t>
  </si>
  <si>
    <t xml:space="preserve">   Legal</t>
  </si>
  <si>
    <t xml:space="preserve">       Damage repair</t>
  </si>
  <si>
    <t>$.02 PER MILE</t>
  </si>
  <si>
    <t xml:space="preserve">   Printing /Reprod</t>
  </si>
  <si>
    <t xml:space="preserve">     Purchase</t>
  </si>
  <si>
    <t xml:space="preserve">     Copier lease</t>
  </si>
  <si>
    <t xml:space="preserve">   Travel</t>
  </si>
  <si>
    <t>GENERAL &amp; ADMINISTRATIVE 7%</t>
  </si>
  <si>
    <t xml:space="preserve">     Local</t>
  </si>
  <si>
    <t>PROFIT 10%</t>
  </si>
  <si>
    <t xml:space="preserve">     Corporate</t>
  </si>
  <si>
    <t xml:space="preserve">   Insurance/Bonding</t>
  </si>
  <si>
    <t>START UP COSTS</t>
  </si>
  <si>
    <t xml:space="preserve">     Vehicle</t>
  </si>
  <si>
    <t>Two Way Radio</t>
  </si>
  <si>
    <t xml:space="preserve">     Facility</t>
  </si>
  <si>
    <t xml:space="preserve"> Management</t>
  </si>
  <si>
    <t xml:space="preserve">     Other Coverages</t>
  </si>
  <si>
    <t xml:space="preserve"> Driver Trng</t>
  </si>
  <si>
    <t xml:space="preserve"> Ongoing Trng</t>
  </si>
  <si>
    <t xml:space="preserve"> Interim Ins/fuel</t>
  </si>
  <si>
    <t xml:space="preserve">    maint/etc.</t>
  </si>
  <si>
    <t xml:space="preserve">     Supplies</t>
  </si>
  <si>
    <t xml:space="preserve"> Performance Bond</t>
  </si>
  <si>
    <t xml:space="preserve"> Travel &amp; reloc.</t>
  </si>
  <si>
    <t>OPERATIONS</t>
  </si>
  <si>
    <t xml:space="preserve">   Vehicles</t>
  </si>
  <si>
    <t xml:space="preserve">     Lease</t>
  </si>
  <si>
    <t xml:space="preserve">       Fuel</t>
  </si>
  <si>
    <t xml:space="preserve">       Oil &amp; Lubricants</t>
  </si>
  <si>
    <t xml:space="preserve">       Company Car</t>
  </si>
  <si>
    <t xml:space="preserve">   Two-way Radios</t>
  </si>
  <si>
    <t xml:space="preserve">     Lease/Purchase</t>
  </si>
  <si>
    <t xml:space="preserve">     Line</t>
  </si>
  <si>
    <t xml:space="preserve">   Beepers</t>
  </si>
  <si>
    <t xml:space="preserve">   Operat. Supplies</t>
  </si>
  <si>
    <t xml:space="preserve">   Start-up &amp; Training Expenses</t>
  </si>
  <si>
    <t>OTHER</t>
  </si>
  <si>
    <t xml:space="preserve">   Armored car</t>
  </si>
  <si>
    <t xml:space="preserve">   Taxes</t>
  </si>
  <si>
    <t xml:space="preserve">   Postage</t>
  </si>
  <si>
    <t xml:space="preserve">   Trash removal</t>
  </si>
  <si>
    <t>FIXED ASSETS</t>
  </si>
  <si>
    <t xml:space="preserve">   Office Furniture</t>
  </si>
  <si>
    <t xml:space="preserve">   Data Processing</t>
  </si>
  <si>
    <t xml:space="preserve">   Supervisory Vehicles</t>
  </si>
  <si>
    <t xml:space="preserve">   Other</t>
  </si>
  <si>
    <t xml:space="preserve">    TOTAL</t>
  </si>
  <si>
    <t>TOTAL ANNUAL COSTS</t>
  </si>
  <si>
    <t>-</t>
  </si>
  <si>
    <t>Current Contract:  $22.45</t>
  </si>
  <si>
    <t xml:space="preserve"> </t>
  </si>
  <si>
    <t>COST PER REVENUE HOUR</t>
  </si>
  <si>
    <t>COST PER REVENUE MILE</t>
  </si>
  <si>
    <t>COST / PAY HOUR</t>
  </si>
  <si>
    <t>COST / PLATFORM MILE</t>
  </si>
  <si>
    <t>COST/MILE INCREMENTAL</t>
  </si>
  <si>
    <t xml:space="preserve">REVENUE MILES </t>
  </si>
  <si>
    <t>TOTAL Rev. Mi. Calculated</t>
  </si>
  <si>
    <t xml:space="preserve">REVENUE HOURS </t>
  </si>
  <si>
    <t>TOTAL Pay Hours Calculated</t>
  </si>
  <si>
    <t>VEHICLES</t>
  </si>
  <si>
    <t xml:space="preserve">   Cost</t>
  </si>
  <si>
    <t xml:space="preserve">   Hi-Top Vans</t>
  </si>
  <si>
    <t xml:space="preserve">   BOC Buses</t>
  </si>
  <si>
    <t xml:space="preserve">   Supervisory</t>
  </si>
  <si>
    <t xml:space="preserve">      TOTAL VEHICLES</t>
  </si>
  <si>
    <t>=</t>
  </si>
  <si>
    <t>Current Contract</t>
  </si>
  <si>
    <t>Annual Vehicle Hours</t>
  </si>
  <si>
    <t>Annual Vehicle Miles</t>
  </si>
  <si>
    <t>Labor:</t>
  </si>
  <si>
    <t xml:space="preserve">   Supervision</t>
  </si>
  <si>
    <t xml:space="preserve">   Dispatch</t>
  </si>
  <si>
    <t xml:space="preserve">   Drivers</t>
  </si>
  <si>
    <t xml:space="preserve">   Maintenance</t>
  </si>
  <si>
    <t xml:space="preserve">   General &amp; Administrative</t>
  </si>
  <si>
    <t xml:space="preserve">   Fringe Benefits</t>
  </si>
  <si>
    <t>Total Labor</t>
  </si>
  <si>
    <t>Materials &amp; Supplies:</t>
  </si>
  <si>
    <t xml:space="preserve">   Vehicle Parts &amp; Supplies</t>
  </si>
  <si>
    <t xml:space="preserve">   Radios/Main't &amp; Line Chgs.</t>
  </si>
  <si>
    <t xml:space="preserve">   Tires </t>
  </si>
  <si>
    <t xml:space="preserve">   Fuels &amp; Lubricants</t>
  </si>
  <si>
    <t xml:space="preserve">   Office &amp; Miscellaneous</t>
  </si>
  <si>
    <t xml:space="preserve">   Uniforms</t>
  </si>
  <si>
    <t>Total Materials &amp; Supplies</t>
  </si>
  <si>
    <t>Services:</t>
  </si>
  <si>
    <t xml:space="preserve">   Telephone</t>
  </si>
  <si>
    <t xml:space="preserve">   Vehicle Repairs</t>
  </si>
  <si>
    <t xml:space="preserve">   Towing</t>
  </si>
  <si>
    <t>incl. above</t>
  </si>
  <si>
    <t xml:space="preserve">   Other/Postage</t>
  </si>
  <si>
    <t>Total Services</t>
  </si>
  <si>
    <t>Other:</t>
  </si>
  <si>
    <t xml:space="preserve">   Insurance</t>
  </si>
  <si>
    <t xml:space="preserve">   Rents &amp; Leases</t>
  </si>
  <si>
    <t xml:space="preserve">   Vehicle License &amp; Inspection@CAT</t>
  </si>
  <si>
    <t xml:space="preserve">   Taxes (incl. FICA, Unempl., etc.)</t>
  </si>
  <si>
    <t xml:space="preserve">   Computer Hardware/Software</t>
  </si>
  <si>
    <t xml:space="preserve">   Start-Up</t>
  </si>
  <si>
    <t>Total Other</t>
  </si>
  <si>
    <t>Subtotal - Annual Cost</t>
  </si>
  <si>
    <t>Total Annual Profit</t>
  </si>
  <si>
    <t>Total Annual Cost</t>
  </si>
  <si>
    <t>Cost Per Vehicle Hour</t>
  </si>
  <si>
    <t>Mortgage Amortization</t>
  </si>
  <si>
    <t>Inputs</t>
  </si>
  <si>
    <t>Key Figures</t>
  </si>
  <si>
    <t>Loan principal amount</t>
  </si>
  <si>
    <t>Annual loan payments</t>
  </si>
  <si>
    <t>Annual interest rate</t>
  </si>
  <si>
    <t>Monthly payments</t>
  </si>
  <si>
    <t>Loan period in years</t>
  </si>
  <si>
    <t>Interest in first calendar year</t>
  </si>
  <si>
    <t>Base year of loan</t>
  </si>
  <si>
    <t>Interest over term of loan</t>
  </si>
  <si>
    <t>Base month of loan</t>
  </si>
  <si>
    <t>Sum of all payments</t>
  </si>
  <si>
    <t>Payments in First 12 Months</t>
  </si>
  <si>
    <t>Year</t>
  </si>
  <si>
    <t>Month</t>
  </si>
  <si>
    <t>Beginning Balance</t>
  </si>
  <si>
    <t xml:space="preserve">Payment </t>
  </si>
  <si>
    <t xml:space="preserve">Principal </t>
  </si>
  <si>
    <t xml:space="preserve">Interest </t>
  </si>
  <si>
    <t>Cumulative Principal</t>
  </si>
  <si>
    <t>Cumulative Interest</t>
  </si>
  <si>
    <t>Ending Balance</t>
  </si>
  <si>
    <t>Yearly Schedule of Balances and Payments</t>
  </si>
  <si>
    <t>Payment</t>
  </si>
  <si>
    <t>Principal</t>
  </si>
  <si>
    <t>Interest</t>
  </si>
  <si>
    <t>DO NOT ERASE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</si>
  <si>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</si>
  <si>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</si>
  <si>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</si>
  <si>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</si>
  <si>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</si>
  <si>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</si>
  <si>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</si>
  <si>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</si>
  <si>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</si>
  <si>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</si>
  <si>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</si>
  <si>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</si>
  <si>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</t>
  </si>
  <si>
    <t>Base Year</t>
  </si>
  <si>
    <t>Years</t>
  </si>
  <si>
    <t>Last Year</t>
  </si>
  <si>
    <t>Mos in Last Yr</t>
  </si>
  <si>
    <t xml:space="preserve">   Inspections </t>
  </si>
  <si>
    <t xml:space="preserve">   Tags </t>
  </si>
  <si>
    <t>7/1/2010</t>
  </si>
  <si>
    <t>7/1/2009</t>
  </si>
  <si>
    <t>6/30/2010</t>
  </si>
  <si>
    <t>6/30/2011</t>
  </si>
  <si>
    <t>varies by classification</t>
  </si>
  <si>
    <t>Cost Proposal - Their Format</t>
  </si>
  <si>
    <t>Mechanics/Cleaners</t>
  </si>
  <si>
    <t>Drivers</t>
  </si>
  <si>
    <t>Supervision</t>
  </si>
  <si>
    <t>Management</t>
  </si>
  <si>
    <t>Clerical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</si>
</sst>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&quot;$&quot;#,##0.000_);\(&quot;$&quot;#,##0.000\)"/>
    <numFmt numFmtId="167" formatCode="&quot;$&quot;#,##0.0000_);\(&quot;$&quot;#,##0.0000\)"/>
    <numFmt numFmtId="168" formatCode="&quot;$&quot;#,##0.0_);\(&quot;$&quot;#,##0.0\)"/>
    <numFmt numFmtId="169" formatCode="[$-409]dddd\,\ mmmm\ dd\,\ yyyy"/>
    <numFmt numFmtId="170" formatCode="[$-409]h:mm:ss\ AM/PM"/>
    <numFmt numFmtId="171" formatCode="0.0%"/>
    <numFmt numFmtId="172" formatCode="0.000%"/>
    <numFmt numFmtId="173" formatCode="&quot;$&quot;#,##0.00"/>
  </numFmts>
  <fonts count="3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10"/>
      <color indexed="23"/>
      <name val="Tahoma"/>
      <family val="2"/>
    </font>
    <font>
      <sz val="10"/>
      <color indexed="59"/>
      <name val="Tahoma"/>
      <family val="2"/>
    </font>
    <font>
      <sz val="8"/>
      <color indexed="59"/>
      <name val="Tahoma"/>
      <family val="2"/>
    </font>
    <font>
      <b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3">
    <xf numFmtId="7" fontId="0" fillId="0" borderId="0" xfId="0" applyAlignment="1">
      <alignment/>
    </xf>
    <xf numFmtId="38" fontId="5" fillId="0" borderId="0" xfId="0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 applyProtection="1">
      <alignment horizontal="left"/>
      <protection/>
    </xf>
    <xf numFmtId="38" fontId="5" fillId="0" borderId="0" xfId="0" applyNumberFormat="1" applyFont="1" applyFill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8" fontId="5" fillId="0" borderId="0" xfId="0" applyNumberFormat="1" applyFont="1" applyFill="1" applyBorder="1" applyAlignment="1" applyProtection="1">
      <alignment horizontal="left" vertical="center"/>
      <protection/>
    </xf>
    <xf numFmtId="38" fontId="8" fillId="0" borderId="0" xfId="0" applyNumberFormat="1" applyFont="1" applyFill="1" applyAlignment="1" applyProtection="1">
      <alignment horizontal="left" vertical="center"/>
      <protection/>
    </xf>
    <xf numFmtId="7" fontId="9" fillId="0" borderId="7" xfId="0" applyNumberFormat="1" applyFont="1" applyFill="1" applyBorder="1" applyAlignment="1" applyProtection="1">
      <alignment horizontal="left" vertical="center"/>
      <protection locked="0"/>
    </xf>
    <xf numFmtId="7" fontId="5" fillId="15" borderId="7" xfId="0" applyNumberFormat="1" applyFont="1" applyFill="1" applyBorder="1" applyAlignment="1" applyProtection="1">
      <alignment horizontal="right" vertical="center"/>
      <protection/>
    </xf>
    <xf numFmtId="172" fontId="9" fillId="0" borderId="7" xfId="0" applyNumberFormat="1" applyFont="1" applyFill="1" applyBorder="1" applyAlignment="1" applyProtection="1">
      <alignment horizontal="left" vertical="center"/>
      <protection locked="0"/>
    </xf>
    <xf numFmtId="37" fontId="9" fillId="0" borderId="7" xfId="0" applyNumberFormat="1" applyFont="1" applyFill="1" applyBorder="1" applyAlignment="1" applyProtection="1">
      <alignment horizontal="left" vertical="center"/>
      <protection locked="0"/>
    </xf>
    <xf numFmtId="165" fontId="9" fillId="0" borderId="7" xfId="0" applyNumberFormat="1" applyFont="1" applyFill="1" applyBorder="1" applyAlignment="1" applyProtection="1">
      <alignment horizontal="left" vertical="center"/>
      <protection locked="0"/>
    </xf>
    <xf numFmtId="38" fontId="5" fillId="0" borderId="0" xfId="0" applyNumberFormat="1" applyFont="1" applyFill="1" applyAlignment="1" applyProtection="1">
      <alignment horizontal="left" vertical="center" wrapText="1"/>
      <protection/>
    </xf>
    <xf numFmtId="39" fontId="7" fillId="17" borderId="10" xfId="0" applyNumberFormat="1" applyFont="1" applyFill="1" applyBorder="1" applyAlignment="1" applyProtection="1">
      <alignment horizontal="left" vertical="center" wrapText="1"/>
      <protection/>
    </xf>
    <xf numFmtId="39" fontId="7" fillId="17" borderId="7" xfId="0" applyNumberFormat="1" applyFont="1" applyFill="1" applyBorder="1" applyAlignment="1" applyProtection="1">
      <alignment horizontal="left" vertical="center" wrapText="1"/>
      <protection/>
    </xf>
    <xf numFmtId="38" fontId="7" fillId="17" borderId="11" xfId="0" applyNumberFormat="1" applyFont="1" applyFill="1" applyBorder="1" applyAlignment="1" applyProtection="1">
      <alignment horizontal="left" vertical="center" wrapText="1"/>
      <protection/>
    </xf>
    <xf numFmtId="165" fontId="5" fillId="15" borderId="7" xfId="0" applyNumberFormat="1" applyFont="1" applyFill="1" applyBorder="1" applyAlignment="1" applyProtection="1">
      <alignment horizontal="left" vertical="center"/>
      <protection/>
    </xf>
    <xf numFmtId="38" fontId="5" fillId="15" borderId="7" xfId="0" applyNumberFormat="1" applyFont="1" applyFill="1" applyBorder="1" applyAlignment="1" applyProtection="1">
      <alignment horizontal="left" vertical="center"/>
      <protection/>
    </xf>
    <xf numFmtId="38" fontId="5" fillId="0" borderId="0" xfId="0" applyNumberFormat="1" applyFont="1" applyFill="1" applyAlignment="1">
      <alignment horizontal="left" vertical="center"/>
    </xf>
    <xf numFmtId="38" fontId="7" fillId="17" borderId="7" xfId="0" applyNumberFormat="1" applyFont="1" applyFill="1" applyBorder="1" applyAlignment="1" applyProtection="1">
      <alignment horizontal="left" vertical="center" wrapText="1"/>
      <protection/>
    </xf>
    <xf numFmtId="39" fontId="7" fillId="17" borderId="11" xfId="0" applyNumberFormat="1" applyFont="1" applyFill="1" applyBorder="1" applyAlignment="1" applyProtection="1">
      <alignment horizontal="left" vertical="center" wrapText="1"/>
      <protection/>
    </xf>
    <xf numFmtId="38" fontId="5" fillId="0" borderId="0" xfId="0" applyNumberFormat="1" applyFont="1" applyAlignment="1" applyProtection="1">
      <alignment horizontal="left" vertical="center" wrapText="1"/>
      <protection/>
    </xf>
    <xf numFmtId="173" fontId="5" fillId="15" borderId="7" xfId="0" applyNumberFormat="1" applyFont="1" applyFill="1" applyBorder="1" applyAlignment="1" applyProtection="1">
      <alignment horizontal="right" vertical="center"/>
      <protection/>
    </xf>
    <xf numFmtId="38" fontId="8" fillId="0" borderId="0" xfId="0" applyNumberFormat="1" applyFont="1" applyAlignment="1" applyProtection="1">
      <alignment horizontal="left" vertical="center"/>
      <protection/>
    </xf>
    <xf numFmtId="38" fontId="0" fillId="0" borderId="0" xfId="0" applyNumberFormat="1" applyAlignment="1">
      <alignment/>
    </xf>
    <xf numFmtId="38" fontId="5" fillId="0" borderId="0" xfId="0" applyNumberFormat="1" applyFont="1" applyAlignment="1" applyProtection="1">
      <alignment horizontal="left" vertical="center"/>
      <protection/>
    </xf>
    <xf numFmtId="38" fontId="5" fillId="0" borderId="0" xfId="0" applyNumberFormat="1" applyFont="1" applyAlignment="1" applyProtection="1">
      <alignment horizontal="right" vertical="center"/>
      <protection/>
    </xf>
    <xf numFmtId="38" fontId="5" fillId="0" borderId="0" xfId="0" applyNumberFormat="1" applyFont="1" applyAlignment="1" applyProtection="1">
      <alignment horizontal="left"/>
      <protection/>
    </xf>
    <xf numFmtId="38" fontId="10" fillId="0" borderId="0" xfId="0" applyNumberFormat="1" applyFont="1" applyAlignment="1" applyProtection="1">
      <alignment horizontal="left"/>
      <protection/>
    </xf>
    <xf numFmtId="38" fontId="10" fillId="0" borderId="0" xfId="0" applyNumberFormat="1" applyFont="1" applyAlignment="1" applyProtection="1">
      <alignment horizontal="left" vertical="center"/>
      <protection/>
    </xf>
    <xf numFmtId="38" fontId="11" fillId="0" borderId="0" xfId="0" applyNumberFormat="1" applyFont="1" applyAlignment="1" applyProtection="1">
      <alignment horizontal="left" vertical="center"/>
      <protection/>
    </xf>
    <xf numFmtId="38" fontId="10" fillId="0" borderId="0" xfId="0" applyNumberFormat="1" applyFont="1" applyAlignment="1" applyProtection="1">
      <alignment horizontal="left" vertical="center" wrapText="1"/>
      <protection/>
    </xf>
    <xf numFmtId="39" fontId="12" fillId="18" borderId="12" xfId="0" applyNumberFormat="1" applyFont="1" applyFill="1" applyBorder="1" applyAlignment="1" applyProtection="1">
      <alignment horizontal="left" vertical="center"/>
      <protection/>
    </xf>
    <xf numFmtId="39" fontId="10" fillId="18" borderId="13" xfId="0" applyNumberFormat="1" applyFont="1" applyFill="1" applyBorder="1" applyAlignment="1" applyProtection="1">
      <alignment horizontal="left" vertical="center"/>
      <protection/>
    </xf>
    <xf numFmtId="39" fontId="5" fillId="18" borderId="14" xfId="0" applyNumberFormat="1" applyFont="1" applyFill="1" applyBorder="1" applyAlignment="1" applyProtection="1">
      <alignment horizontal="left" vertical="center"/>
      <protection/>
    </xf>
    <xf numFmtId="39" fontId="5" fillId="18" borderId="15" xfId="0" applyNumberFormat="1" applyFont="1" applyFill="1" applyBorder="1" applyAlignment="1" applyProtection="1">
      <alignment horizontal="left" vertical="center"/>
      <protection/>
    </xf>
    <xf numFmtId="39" fontId="10" fillId="18" borderId="0" xfId="0" applyNumberFormat="1" applyFont="1" applyFill="1" applyAlignment="1" applyProtection="1">
      <alignment horizontal="left" vertical="center"/>
      <protection/>
    </xf>
    <xf numFmtId="39" fontId="5" fillId="18" borderId="16" xfId="0" applyNumberFormat="1" applyFont="1" applyFill="1" applyBorder="1" applyAlignment="1" applyProtection="1">
      <alignment horizontal="left" vertical="center"/>
      <protection/>
    </xf>
    <xf numFmtId="165" fontId="5" fillId="18" borderId="15" xfId="0" applyNumberFormat="1" applyFont="1" applyFill="1" applyBorder="1" applyAlignment="1" applyProtection="1">
      <alignment horizontal="left" vertical="center"/>
      <protection/>
    </xf>
    <xf numFmtId="0" fontId="5" fillId="18" borderId="16" xfId="0" applyNumberFormat="1" applyFont="1" applyFill="1" applyBorder="1" applyAlignment="1" applyProtection="1">
      <alignment horizontal="left" vertical="center"/>
      <protection/>
    </xf>
    <xf numFmtId="39" fontId="5" fillId="18" borderId="17" xfId="0" applyNumberFormat="1" applyFont="1" applyFill="1" applyBorder="1" applyAlignment="1" applyProtection="1">
      <alignment horizontal="left" vertical="center"/>
      <protection/>
    </xf>
    <xf numFmtId="39" fontId="10" fillId="18" borderId="18" xfId="0" applyNumberFormat="1" applyFont="1" applyFill="1" applyBorder="1" applyAlignment="1" applyProtection="1">
      <alignment horizontal="left" vertical="center"/>
      <protection/>
    </xf>
    <xf numFmtId="39" fontId="5" fillId="18" borderId="19" xfId="0" applyNumberFormat="1" applyFont="1" applyFill="1" applyBorder="1" applyAlignment="1" applyProtection="1">
      <alignment horizontal="left" vertical="center"/>
      <protection/>
    </xf>
    <xf numFmtId="7" fontId="29" fillId="0" borderId="0" xfId="0" applyFont="1" applyBorder="1" applyAlignment="1">
      <alignment horizontal="right" vertical="center"/>
    </xf>
    <xf numFmtId="49" fontId="29" fillId="0" borderId="0" xfId="0" applyNumberFormat="1" applyFont="1" applyBorder="1" applyAlignment="1" quotePrefix="1">
      <alignment horizontal="right" vertical="center"/>
    </xf>
    <xf numFmtId="7" fontId="29" fillId="19" borderId="0" xfId="0" applyFont="1" applyFill="1" applyBorder="1" applyAlignment="1">
      <alignment vertical="center"/>
    </xf>
    <xf numFmtId="7" fontId="29" fillId="0" borderId="0" xfId="0" applyFont="1" applyBorder="1" applyAlignment="1">
      <alignment vertical="center" wrapText="1"/>
    </xf>
    <xf numFmtId="7" fontId="29" fillId="0" borderId="0" xfId="0" applyFont="1" applyBorder="1" applyAlignment="1">
      <alignment horizontal="center" vertical="center"/>
    </xf>
    <xf numFmtId="7" fontId="29" fillId="0" borderId="0" xfId="0" applyFont="1" applyBorder="1" applyAlignment="1">
      <alignment horizontal="left" vertical="center" wrapText="1"/>
    </xf>
    <xf numFmtId="7" fontId="29" fillId="0" borderId="0" xfId="0" applyFont="1" applyBorder="1" applyAlignment="1">
      <alignment vertical="center"/>
    </xf>
    <xf numFmtId="49" fontId="29" fillId="0" borderId="0" xfId="0" applyNumberFormat="1" applyFont="1" applyBorder="1" applyAlignment="1" applyProtection="1" quotePrefix="1">
      <alignment horizontal="right" vertical="center"/>
      <protection/>
    </xf>
    <xf numFmtId="10" fontId="29" fillId="19" borderId="0" xfId="0" applyNumberFormat="1" applyFont="1" applyFill="1" applyBorder="1" applyAlignment="1">
      <alignment vertical="center"/>
    </xf>
    <xf numFmtId="49" fontId="29" fillId="19" borderId="0" xfId="0" applyNumberFormat="1" applyFont="1" applyFill="1" applyBorder="1" applyAlignment="1" applyProtection="1" quotePrefix="1">
      <alignment horizontal="right" vertical="center"/>
      <protection/>
    </xf>
    <xf numFmtId="7" fontId="30" fillId="0" borderId="0" xfId="0" applyFont="1" applyBorder="1" applyAlignment="1" quotePrefix="1">
      <alignment horizontal="left" vertical="center" wrapText="1"/>
    </xf>
    <xf numFmtId="7" fontId="30" fillId="0" borderId="20" xfId="0" applyNumberFormat="1" applyFont="1" applyBorder="1" applyAlignment="1" applyProtection="1">
      <alignment horizontal="left" vertical="center"/>
      <protection/>
    </xf>
    <xf numFmtId="7" fontId="29" fillId="17" borderId="21" xfId="0" applyFont="1" applyFill="1" applyBorder="1" applyAlignment="1">
      <alignment vertical="center"/>
    </xf>
    <xf numFmtId="7" fontId="29" fillId="17" borderId="22" xfId="0" applyFont="1" applyFill="1" applyBorder="1" applyAlignment="1">
      <alignment vertical="center"/>
    </xf>
    <xf numFmtId="7" fontId="30" fillId="0" borderId="20" xfId="0" applyNumberFormat="1" applyFont="1" applyBorder="1" applyAlignment="1" applyProtection="1">
      <alignment horizontal="left" vertical="center" wrapText="1"/>
      <protection/>
    </xf>
    <xf numFmtId="7" fontId="29" fillId="17" borderId="21" xfId="0" applyFont="1" applyFill="1" applyBorder="1" applyAlignment="1">
      <alignment horizontal="center" vertical="center"/>
    </xf>
    <xf numFmtId="7" fontId="29" fillId="17" borderId="22" xfId="0" applyFont="1" applyFill="1" applyBorder="1" applyAlignment="1">
      <alignment horizontal="left" vertical="center" wrapText="1"/>
    </xf>
    <xf numFmtId="7" fontId="29" fillId="0" borderId="23" xfId="0" applyNumberFormat="1" applyFont="1" applyBorder="1" applyAlignment="1" applyProtection="1">
      <alignment horizontal="left" vertical="center"/>
      <protection/>
    </xf>
    <xf numFmtId="5" fontId="29" fillId="0" borderId="0" xfId="0" applyNumberFormat="1" applyFont="1" applyBorder="1" applyAlignment="1" applyProtection="1">
      <alignment vertical="center"/>
      <protection/>
    </xf>
    <xf numFmtId="5" fontId="29" fillId="0" borderId="24" xfId="0" applyNumberFormat="1" applyFont="1" applyBorder="1" applyAlignment="1" applyProtection="1">
      <alignment vertical="center"/>
      <protection/>
    </xf>
    <xf numFmtId="5" fontId="29" fillId="19" borderId="0" xfId="0" applyNumberFormat="1" applyFont="1" applyFill="1" applyBorder="1" applyAlignment="1" applyProtection="1">
      <alignment vertical="center"/>
      <protection/>
    </xf>
    <xf numFmtId="7" fontId="29" fillId="0" borderId="23" xfId="0" applyNumberFormat="1" applyFont="1" applyBorder="1" applyAlignment="1" applyProtection="1">
      <alignment horizontal="left" vertical="center" wrapText="1"/>
      <protection/>
    </xf>
    <xf numFmtId="7" fontId="29" fillId="0" borderId="0" xfId="0" applyFont="1" applyBorder="1" applyAlignment="1" quotePrefix="1">
      <alignment horizontal="center" vertical="center"/>
    </xf>
    <xf numFmtId="7" fontId="29" fillId="0" borderId="24" xfId="0" applyFont="1" applyBorder="1" applyAlignment="1" quotePrefix="1">
      <alignment horizontal="left" vertical="center" wrapText="1"/>
    </xf>
    <xf numFmtId="0" fontId="29" fillId="0" borderId="0" xfId="0" applyNumberFormat="1" applyFont="1" applyBorder="1" applyAlignment="1" quotePrefix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7" fontId="29" fillId="17" borderId="0" xfId="0" applyFont="1" applyFill="1" applyBorder="1" applyAlignment="1">
      <alignment horizontal="center" vertical="center"/>
    </xf>
    <xf numFmtId="7" fontId="29" fillId="17" borderId="24" xfId="0" applyFont="1" applyFill="1" applyBorder="1" applyAlignment="1">
      <alignment horizontal="left" vertical="center" wrapText="1"/>
    </xf>
    <xf numFmtId="7" fontId="29" fillId="17" borderId="25" xfId="0" applyFont="1" applyFill="1" applyBorder="1" applyAlignment="1">
      <alignment vertical="center"/>
    </xf>
    <xf numFmtId="5" fontId="30" fillId="0" borderId="26" xfId="0" applyNumberFormat="1" applyFont="1" applyBorder="1" applyAlignment="1" applyProtection="1">
      <alignment vertical="center"/>
      <protection/>
    </xf>
    <xf numFmtId="5" fontId="30" fillId="0" borderId="27" xfId="0" applyNumberFormat="1" applyFont="1" applyBorder="1" applyAlignment="1" applyProtection="1">
      <alignment vertical="center"/>
      <protection/>
    </xf>
    <xf numFmtId="7" fontId="29" fillId="17" borderId="25" xfId="0" applyFont="1" applyFill="1" applyBorder="1" applyAlignment="1">
      <alignment vertical="center" wrapText="1"/>
    </xf>
    <xf numFmtId="7" fontId="29" fillId="17" borderId="26" xfId="0" applyFont="1" applyFill="1" applyBorder="1" applyAlignment="1">
      <alignment horizontal="center" vertical="center"/>
    </xf>
    <xf numFmtId="7" fontId="29" fillId="17" borderId="27" xfId="0" applyFont="1" applyFill="1" applyBorder="1" applyAlignment="1">
      <alignment horizontal="left" vertical="center" wrapText="1"/>
    </xf>
    <xf numFmtId="7" fontId="29" fillId="0" borderId="23" xfId="0" applyFont="1" applyBorder="1" applyAlignment="1">
      <alignment vertical="center"/>
    </xf>
    <xf numFmtId="7" fontId="29" fillId="0" borderId="23" xfId="0" applyFont="1" applyBorder="1" applyAlignment="1">
      <alignment vertical="center" wrapText="1"/>
    </xf>
    <xf numFmtId="7" fontId="29" fillId="0" borderId="24" xfId="0" applyFont="1" applyBorder="1" applyAlignment="1">
      <alignment horizontal="left" vertical="center" wrapText="1"/>
    </xf>
    <xf numFmtId="7" fontId="29" fillId="17" borderId="23" xfId="0" applyNumberFormat="1" applyFont="1" applyFill="1" applyBorder="1" applyAlignment="1" applyProtection="1">
      <alignment horizontal="left" vertical="center" wrapText="1"/>
      <protection/>
    </xf>
    <xf numFmtId="10" fontId="29" fillId="0" borderId="24" xfId="0" applyNumberFormat="1" applyFont="1" applyBorder="1" applyAlignment="1">
      <alignment horizontal="left" vertical="center" wrapText="1"/>
    </xf>
    <xf numFmtId="7" fontId="29" fillId="17" borderId="23" xfId="0" applyFont="1" applyFill="1" applyBorder="1" applyAlignment="1">
      <alignment vertical="center" wrapText="1"/>
    </xf>
    <xf numFmtId="7" fontId="29" fillId="17" borderId="0" xfId="0" applyFont="1" applyFill="1" applyBorder="1" applyAlignment="1">
      <alignment vertical="center"/>
    </xf>
    <xf numFmtId="7" fontId="29" fillId="17" borderId="23" xfId="0" applyNumberFormat="1" applyFont="1" applyFill="1" applyBorder="1" applyAlignment="1" applyProtection="1">
      <alignment horizontal="left" vertical="center"/>
      <protection/>
    </xf>
    <xf numFmtId="5" fontId="29" fillId="17" borderId="0" xfId="0" applyNumberFormat="1" applyFont="1" applyFill="1" applyBorder="1" applyAlignment="1" applyProtection="1">
      <alignment vertical="center"/>
      <protection/>
    </xf>
    <xf numFmtId="5" fontId="29" fillId="17" borderId="24" xfId="0" applyNumberFormat="1" applyFont="1" applyFill="1" applyBorder="1" applyAlignment="1" applyProtection="1">
      <alignment vertical="center"/>
      <protection/>
    </xf>
    <xf numFmtId="7" fontId="29" fillId="0" borderId="0" xfId="0" applyNumberFormat="1" applyFont="1" applyBorder="1" applyAlignment="1" applyProtection="1">
      <alignment horizontal="left" vertical="center" wrapText="1"/>
      <protection/>
    </xf>
    <xf numFmtId="7" fontId="29" fillId="0" borderId="25" xfId="0" applyNumberFormat="1" applyFont="1" applyBorder="1" applyAlignment="1" applyProtection="1">
      <alignment horizontal="left" vertical="center"/>
      <protection/>
    </xf>
    <xf numFmtId="5" fontId="29" fillId="0" borderId="26" xfId="0" applyNumberFormat="1" applyFont="1" applyBorder="1" applyAlignment="1" applyProtection="1">
      <alignment vertical="center"/>
      <protection/>
    </xf>
    <xf numFmtId="5" fontId="29" fillId="0" borderId="27" xfId="0" applyNumberFormat="1" applyFont="1" applyBorder="1" applyAlignment="1" applyProtection="1">
      <alignment vertical="center"/>
      <protection/>
    </xf>
    <xf numFmtId="7" fontId="30" fillId="0" borderId="0" xfId="0" applyFont="1" applyBorder="1" applyAlignment="1">
      <alignment horizontal="center" vertical="center"/>
    </xf>
    <xf numFmtId="5" fontId="29" fillId="17" borderId="21" xfId="0" applyNumberFormat="1" applyFont="1" applyFill="1" applyBorder="1" applyAlignment="1" applyProtection="1">
      <alignment vertical="center"/>
      <protection/>
    </xf>
    <xf numFmtId="5" fontId="29" fillId="17" borderId="22" xfId="0" applyNumberFormat="1" applyFont="1" applyFill="1" applyBorder="1" applyAlignment="1" applyProtection="1">
      <alignment vertical="center"/>
      <protection/>
    </xf>
    <xf numFmtId="7" fontId="30" fillId="0" borderId="0" xfId="0" applyFont="1" applyBorder="1" applyAlignment="1">
      <alignment horizontal="left" vertical="center" wrapText="1"/>
    </xf>
    <xf numFmtId="7" fontId="29" fillId="0" borderId="20" xfId="0" applyNumberFormat="1" applyFont="1" applyBorder="1" applyAlignment="1" applyProtection="1">
      <alignment horizontal="left" vertical="center" wrapText="1"/>
      <protection/>
    </xf>
    <xf numFmtId="7" fontId="29" fillId="0" borderId="22" xfId="0" applyFont="1" applyBorder="1" applyAlignment="1">
      <alignment horizontal="left" vertical="center" wrapText="1"/>
    </xf>
    <xf numFmtId="7" fontId="29" fillId="0" borderId="25" xfId="0" applyNumberFormat="1" applyFont="1" applyBorder="1" applyAlignment="1" applyProtection="1">
      <alignment horizontal="left" vertical="center" wrapText="1"/>
      <protection/>
    </xf>
    <xf numFmtId="7" fontId="29" fillId="0" borderId="27" xfId="0" applyFont="1" applyBorder="1" applyAlignment="1">
      <alignment horizontal="left" vertical="center" wrapText="1"/>
    </xf>
    <xf numFmtId="5" fontId="29" fillId="0" borderId="0" xfId="0" applyNumberFormat="1" applyFont="1" applyBorder="1" applyAlignment="1" applyProtection="1">
      <alignment horizontal="center" vertical="center"/>
      <protection/>
    </xf>
    <xf numFmtId="7" fontId="29" fillId="17" borderId="22" xfId="0" applyFont="1" applyFill="1" applyBorder="1" applyAlignment="1">
      <alignment horizontal="center" vertical="center"/>
    </xf>
    <xf numFmtId="7" fontId="29" fillId="0" borderId="24" xfId="0" applyFont="1" applyBorder="1" applyAlignment="1">
      <alignment horizontal="center" vertical="center"/>
    </xf>
    <xf numFmtId="7" fontId="29" fillId="0" borderId="27" xfId="0" applyFont="1" applyBorder="1" applyAlignment="1">
      <alignment horizontal="center" vertical="center"/>
    </xf>
    <xf numFmtId="7" fontId="29" fillId="17" borderId="24" xfId="0" applyFont="1" applyFill="1" applyBorder="1" applyAlignment="1">
      <alignment vertical="center"/>
    </xf>
    <xf numFmtId="7" fontId="29" fillId="0" borderId="0" xfId="0" applyNumberFormat="1" applyFont="1" applyBorder="1" applyAlignment="1" applyProtection="1">
      <alignment vertical="center"/>
      <protection/>
    </xf>
    <xf numFmtId="5" fontId="29" fillId="20" borderId="0" xfId="0" applyNumberFormat="1" applyFont="1" applyFill="1" applyBorder="1" applyAlignment="1" applyProtection="1">
      <alignment vertical="center"/>
      <protection/>
    </xf>
    <xf numFmtId="5" fontId="29" fillId="20" borderId="24" xfId="0" applyNumberFormat="1" applyFont="1" applyFill="1" applyBorder="1" applyAlignment="1" applyProtection="1">
      <alignment vertical="center"/>
      <protection/>
    </xf>
    <xf numFmtId="5" fontId="29" fillId="0" borderId="0" xfId="0" applyNumberFormat="1" applyFont="1" applyBorder="1" applyAlignment="1">
      <alignment horizontal="center" vertical="center"/>
    </xf>
    <xf numFmtId="7" fontId="29" fillId="0" borderId="0" xfId="0" applyNumberFormat="1" applyFont="1" applyBorder="1" applyAlignment="1" applyProtection="1">
      <alignment horizontal="left" vertical="center"/>
      <protection/>
    </xf>
    <xf numFmtId="5" fontId="29" fillId="0" borderId="24" xfId="0" applyNumberFormat="1" applyFont="1" applyBorder="1" applyAlignment="1" applyProtection="1">
      <alignment horizontal="center" vertical="center"/>
      <protection/>
    </xf>
    <xf numFmtId="5" fontId="29" fillId="17" borderId="24" xfId="0" applyNumberFormat="1" applyFont="1" applyFill="1" applyBorder="1" applyAlignment="1">
      <alignment horizontal="center" vertical="center"/>
    </xf>
    <xf numFmtId="7" fontId="29" fillId="17" borderId="25" xfId="0" applyNumberFormat="1" applyFont="1" applyFill="1" applyBorder="1" applyAlignment="1" applyProtection="1">
      <alignment horizontal="left" vertical="center" wrapText="1"/>
      <protection/>
    </xf>
    <xf numFmtId="5" fontId="30" fillId="0" borderId="27" xfId="0" applyNumberFormat="1" applyFont="1" applyBorder="1" applyAlignment="1" applyProtection="1">
      <alignment horizontal="center" vertical="center"/>
      <protection/>
    </xf>
    <xf numFmtId="7" fontId="29" fillId="0" borderId="0" xfId="0" applyNumberFormat="1" applyFont="1" applyBorder="1" applyAlignment="1" applyProtection="1">
      <alignment horizontal="center" vertical="center"/>
      <protection/>
    </xf>
    <xf numFmtId="7" fontId="29" fillId="0" borderId="23" xfId="0" applyNumberFormat="1" applyFont="1" applyBorder="1" applyAlignment="1" applyProtection="1" quotePrefix="1">
      <alignment horizontal="left" vertical="center"/>
      <protection/>
    </xf>
    <xf numFmtId="7" fontId="30" fillId="0" borderId="28" xfId="0" applyNumberFormat="1" applyFont="1" applyBorder="1" applyAlignment="1" applyProtection="1">
      <alignment horizontal="left" vertical="center"/>
      <protection/>
    </xf>
    <xf numFmtId="5" fontId="29" fillId="0" borderId="29" xfId="0" applyNumberFormat="1" applyFont="1" applyBorder="1" applyAlignment="1" applyProtection="1">
      <alignment vertical="center"/>
      <protection/>
    </xf>
    <xf numFmtId="5" fontId="29" fillId="0" borderId="30" xfId="0" applyNumberFormat="1" applyFont="1" applyBorder="1" applyAlignment="1" applyProtection="1">
      <alignment vertical="center"/>
      <protection/>
    </xf>
    <xf numFmtId="7" fontId="30" fillId="0" borderId="0" xfId="0" applyFont="1" applyBorder="1" applyAlignment="1">
      <alignment vertical="center"/>
    </xf>
    <xf numFmtId="5" fontId="29" fillId="0" borderId="21" xfId="0" applyNumberFormat="1" applyFont="1" applyBorder="1" applyAlignment="1" applyProtection="1">
      <alignment vertical="center"/>
      <protection/>
    </xf>
    <xf numFmtId="5" fontId="29" fillId="0" borderId="22" xfId="0" applyNumberFormat="1" applyFont="1" applyBorder="1" applyAlignment="1" applyProtection="1">
      <alignment vertical="center"/>
      <protection/>
    </xf>
    <xf numFmtId="9" fontId="29" fillId="0" borderId="31" xfId="57" applyFont="1" applyBorder="1" applyAlignment="1">
      <alignment horizontal="center" vertical="center"/>
    </xf>
    <xf numFmtId="7" fontId="30" fillId="0" borderId="25" xfId="0" applyNumberFormat="1" applyFont="1" applyBorder="1" applyAlignment="1" applyProtection="1">
      <alignment horizontal="left" vertical="center"/>
      <protection/>
    </xf>
    <xf numFmtId="9" fontId="29" fillId="0" borderId="32" xfId="57" applyFont="1" applyBorder="1" applyAlignment="1">
      <alignment horizontal="center" vertical="center"/>
    </xf>
    <xf numFmtId="5" fontId="29" fillId="0" borderId="0" xfId="0" applyNumberFormat="1" applyFont="1" applyBorder="1" applyAlignment="1" applyProtection="1">
      <alignment horizontal="right" vertical="center" wrapText="1"/>
      <protection/>
    </xf>
    <xf numFmtId="7" fontId="29" fillId="0" borderId="0" xfId="0" applyNumberFormat="1" applyFont="1" applyBorder="1" applyAlignment="1" applyProtection="1">
      <alignment horizontal="fill" vertical="center"/>
      <protection/>
    </xf>
    <xf numFmtId="7" fontId="29" fillId="19" borderId="0" xfId="0" applyNumberFormat="1" applyFont="1" applyFill="1" applyBorder="1" applyAlignment="1" applyProtection="1">
      <alignment horizontal="fill" vertical="center"/>
      <protection/>
    </xf>
    <xf numFmtId="7" fontId="29" fillId="0" borderId="0" xfId="0" applyNumberFormat="1" applyFont="1" applyBorder="1" applyAlignment="1" applyProtection="1">
      <alignment horizontal="fill" vertical="center" wrapText="1"/>
      <protection/>
    </xf>
    <xf numFmtId="7" fontId="30" fillId="0" borderId="20" xfId="0" applyFont="1" applyBorder="1" applyAlignment="1">
      <alignment horizontal="right" vertical="center"/>
    </xf>
    <xf numFmtId="165" fontId="29" fillId="0" borderId="21" xfId="0" applyNumberFormat="1" applyFont="1" applyBorder="1" applyAlignment="1" applyProtection="1">
      <alignment horizontal="center" vertical="center"/>
      <protection/>
    </xf>
    <xf numFmtId="165" fontId="29" fillId="0" borderId="22" xfId="0" applyNumberFormat="1" applyFont="1" applyBorder="1" applyAlignment="1" applyProtection="1">
      <alignment horizontal="center" vertical="center"/>
      <protection/>
    </xf>
    <xf numFmtId="165" fontId="29" fillId="19" borderId="0" xfId="0" applyNumberFormat="1" applyFont="1" applyFill="1" applyBorder="1" applyAlignment="1" applyProtection="1">
      <alignment horizontal="center" vertical="center"/>
      <protection/>
    </xf>
    <xf numFmtId="7" fontId="30" fillId="0" borderId="23" xfId="0" applyNumberFormat="1" applyFont="1" applyBorder="1" applyAlignment="1" applyProtection="1">
      <alignment horizontal="left" vertical="center"/>
      <protection/>
    </xf>
    <xf numFmtId="7" fontId="30" fillId="0" borderId="0" xfId="0" applyNumberFormat="1" applyFont="1" applyBorder="1" applyAlignment="1" applyProtection="1">
      <alignment vertical="center"/>
      <protection/>
    </xf>
    <xf numFmtId="7" fontId="30" fillId="0" borderId="24" xfId="0" applyNumberFormat="1" applyFont="1" applyBorder="1" applyAlignment="1" applyProtection="1">
      <alignment vertical="center"/>
      <protection/>
    </xf>
    <xf numFmtId="7" fontId="30" fillId="19" borderId="0" xfId="0" applyNumberFormat="1" applyFont="1" applyFill="1" applyBorder="1" applyAlignment="1" applyProtection="1">
      <alignment vertical="center"/>
      <protection/>
    </xf>
    <xf numFmtId="7" fontId="29" fillId="0" borderId="24" xfId="0" applyNumberFormat="1" applyFont="1" applyBorder="1" applyAlignment="1" applyProtection="1">
      <alignment vertical="center"/>
      <protection/>
    </xf>
    <xf numFmtId="7" fontId="29" fillId="19" borderId="0" xfId="0" applyNumberFormat="1" applyFont="1" applyFill="1" applyBorder="1" applyAlignment="1" applyProtection="1">
      <alignment vertical="center"/>
      <protection/>
    </xf>
    <xf numFmtId="7" fontId="29" fillId="17" borderId="23" xfId="0" applyFont="1" applyFill="1" applyBorder="1" applyAlignment="1">
      <alignment vertical="center"/>
    </xf>
    <xf numFmtId="37" fontId="29" fillId="0" borderId="0" xfId="0" applyNumberFormat="1" applyFont="1" applyBorder="1" applyAlignment="1" applyProtection="1">
      <alignment vertical="center"/>
      <protection/>
    </xf>
    <xf numFmtId="37" fontId="29" fillId="0" borderId="24" xfId="0" applyNumberFormat="1" applyFont="1" applyBorder="1" applyAlignment="1" applyProtection="1">
      <alignment vertical="center"/>
      <protection/>
    </xf>
    <xf numFmtId="37" fontId="29" fillId="19" borderId="0" xfId="0" applyNumberFormat="1" applyFont="1" applyFill="1" applyBorder="1" applyAlignment="1" applyProtection="1">
      <alignment vertical="center"/>
      <protection/>
    </xf>
    <xf numFmtId="10" fontId="29" fillId="0" borderId="32" xfId="57" applyNumberFormat="1" applyFont="1" applyBorder="1" applyAlignment="1">
      <alignment horizontal="center" vertical="center"/>
    </xf>
    <xf numFmtId="37" fontId="29" fillId="17" borderId="0" xfId="0" applyNumberFormat="1" applyFont="1" applyFill="1" applyBorder="1" applyAlignment="1" applyProtection="1">
      <alignment vertical="center"/>
      <protection/>
    </xf>
    <xf numFmtId="37" fontId="29" fillId="17" borderId="24" xfId="0" applyNumberFormat="1" applyFont="1" applyFill="1" applyBorder="1" applyAlignment="1" applyProtection="1">
      <alignment vertical="center"/>
      <protection/>
    </xf>
    <xf numFmtId="7" fontId="29" fillId="0" borderId="32" xfId="0" applyFont="1" applyBorder="1" applyAlignment="1">
      <alignment horizontal="center" vertical="center"/>
    </xf>
    <xf numFmtId="37" fontId="29" fillId="0" borderId="26" xfId="0" applyNumberFormat="1" applyFont="1" applyBorder="1" applyAlignment="1" applyProtection="1">
      <alignment vertical="center"/>
      <protection/>
    </xf>
    <xf numFmtId="37" fontId="29" fillId="0" borderId="27" xfId="0" applyNumberFormat="1" applyFont="1" applyBorder="1" applyAlignment="1" applyProtection="1">
      <alignment vertical="center"/>
      <protection/>
    </xf>
    <xf numFmtId="7" fontId="30" fillId="0" borderId="20" xfId="0" applyFont="1" applyBorder="1" applyAlignment="1">
      <alignment vertical="center"/>
    </xf>
    <xf numFmtId="7" fontId="30" fillId="0" borderId="21" xfId="0" applyFont="1" applyBorder="1" applyAlignment="1">
      <alignment vertical="center"/>
    </xf>
    <xf numFmtId="7" fontId="29" fillId="0" borderId="22" xfId="0" applyFont="1" applyBorder="1" applyAlignment="1">
      <alignment vertical="center"/>
    </xf>
    <xf numFmtId="7" fontId="30" fillId="0" borderId="23" xfId="0" applyFont="1" applyBorder="1" applyAlignment="1">
      <alignment vertical="center"/>
    </xf>
    <xf numFmtId="7" fontId="29" fillId="0" borderId="24" xfId="0" applyFont="1" applyBorder="1" applyAlignment="1">
      <alignment vertical="center"/>
    </xf>
    <xf numFmtId="7" fontId="30" fillId="19" borderId="0" xfId="0" applyFont="1" applyFill="1" applyBorder="1" applyAlignment="1">
      <alignment vertical="center"/>
    </xf>
    <xf numFmtId="7" fontId="29" fillId="0" borderId="23" xfId="0" applyFont="1" applyBorder="1" applyAlignment="1">
      <alignment horizontal="right" vertical="center"/>
    </xf>
    <xf numFmtId="49" fontId="29" fillId="0" borderId="24" xfId="0" applyNumberFormat="1" applyFont="1" applyBorder="1" applyAlignment="1" quotePrefix="1">
      <alignment horizontal="right" vertical="center"/>
    </xf>
    <xf numFmtId="49" fontId="29" fillId="19" borderId="0" xfId="0" applyNumberFormat="1" applyFont="1" applyFill="1" applyBorder="1" applyAlignment="1" quotePrefix="1">
      <alignment horizontal="right" vertical="center"/>
    </xf>
    <xf numFmtId="49" fontId="29" fillId="0" borderId="24" xfId="0" applyNumberFormat="1" applyFont="1" applyBorder="1" applyAlignment="1" applyProtection="1" quotePrefix="1">
      <alignment horizontal="right" vertical="center"/>
      <protection/>
    </xf>
    <xf numFmtId="3" fontId="29" fillId="0" borderId="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19" borderId="0" xfId="0" applyNumberFormat="1" applyFont="1" applyFill="1" applyBorder="1" applyAlignment="1">
      <alignment vertical="center"/>
    </xf>
    <xf numFmtId="7" fontId="31" fillId="0" borderId="23" xfId="0" applyFont="1" applyBorder="1" applyAlignment="1">
      <alignment vertical="center"/>
    </xf>
    <xf numFmtId="6" fontId="29" fillId="0" borderId="0" xfId="0" applyNumberFormat="1" applyFont="1" applyBorder="1" applyAlignment="1">
      <alignment vertical="center"/>
    </xf>
    <xf numFmtId="6" fontId="29" fillId="0" borderId="24" xfId="0" applyNumberFormat="1" applyFont="1" applyBorder="1" applyAlignment="1">
      <alignment vertical="center"/>
    </xf>
    <xf numFmtId="6" fontId="29" fillId="19" borderId="0" xfId="0" applyNumberFormat="1" applyFont="1" applyFill="1" applyBorder="1" applyAlignment="1">
      <alignment vertical="center"/>
    </xf>
    <xf numFmtId="6" fontId="31" fillId="0" borderId="0" xfId="0" applyNumberFormat="1" applyFont="1" applyBorder="1" applyAlignment="1">
      <alignment vertical="center"/>
    </xf>
    <xf numFmtId="6" fontId="31" fillId="0" borderId="24" xfId="0" applyNumberFormat="1" applyFont="1" applyBorder="1" applyAlignment="1">
      <alignment vertical="center"/>
    </xf>
    <xf numFmtId="6" fontId="31" fillId="19" borderId="0" xfId="0" applyNumberFormat="1" applyFont="1" applyFill="1" applyBorder="1" applyAlignment="1">
      <alignment vertical="center"/>
    </xf>
    <xf numFmtId="7" fontId="29" fillId="0" borderId="23" xfId="0" applyFont="1" applyBorder="1" applyAlignment="1" quotePrefix="1">
      <alignment horizontal="left" vertical="center"/>
    </xf>
    <xf numFmtId="6" fontId="29" fillId="0" borderId="0" xfId="0" applyNumberFormat="1" applyFont="1" applyBorder="1" applyAlignment="1">
      <alignment horizontal="right" vertical="center"/>
    </xf>
    <xf numFmtId="6" fontId="29" fillId="0" borderId="24" xfId="0" applyNumberFormat="1" applyFont="1" applyBorder="1" applyAlignment="1">
      <alignment horizontal="right" vertical="center"/>
    </xf>
    <xf numFmtId="6" fontId="29" fillId="19" borderId="0" xfId="0" applyNumberFormat="1" applyFont="1" applyFill="1" applyBorder="1" applyAlignment="1">
      <alignment horizontal="right" vertical="center"/>
    </xf>
    <xf numFmtId="7" fontId="30" fillId="0" borderId="25" xfId="0" applyFont="1" applyBorder="1" applyAlignment="1">
      <alignment vertical="center"/>
    </xf>
    <xf numFmtId="7" fontId="30" fillId="0" borderId="26" xfId="0" applyNumberFormat="1" applyFont="1" applyBorder="1" applyAlignment="1">
      <alignment vertical="center"/>
    </xf>
    <xf numFmtId="7" fontId="30" fillId="0" borderId="27" xfId="0" applyNumberFormat="1" applyFont="1" applyBorder="1" applyAlignment="1">
      <alignment vertical="center"/>
    </xf>
    <xf numFmtId="7" fontId="30" fillId="19" borderId="0" xfId="0" applyNumberFormat="1" applyFont="1" applyFill="1" applyBorder="1" applyAlignment="1">
      <alignment vertical="center"/>
    </xf>
    <xf numFmtId="38" fontId="9" fillId="0" borderId="33" xfId="0" applyNumberFormat="1" applyFont="1" applyFill="1" applyBorder="1" applyAlignment="1" applyProtection="1">
      <alignment horizontal="left" vertical="center"/>
      <protection/>
    </xf>
    <xf numFmtId="38" fontId="9" fillId="0" borderId="34" xfId="0" applyNumberFormat="1" applyFont="1" applyFill="1" applyBorder="1" applyAlignment="1" applyProtection="1">
      <alignment horizontal="left" vertical="center"/>
      <protection/>
    </xf>
    <xf numFmtId="38" fontId="9" fillId="0" borderId="35" xfId="0" applyNumberFormat="1" applyFont="1" applyFill="1" applyBorder="1" applyAlignment="1" applyProtection="1">
      <alignment horizontal="left" vertical="center"/>
      <protection/>
    </xf>
    <xf numFmtId="39" fontId="7" fillId="2" borderId="33" xfId="0" applyNumberFormat="1" applyFont="1" applyFill="1" applyBorder="1" applyAlignment="1" applyProtection="1">
      <alignment horizontal="left" vertical="center"/>
      <protection/>
    </xf>
    <xf numFmtId="39" fontId="7" fillId="2" borderId="34" xfId="0" applyNumberFormat="1" applyFont="1" applyFill="1" applyBorder="1" applyAlignment="1" applyProtection="1">
      <alignment horizontal="left" vertical="center"/>
      <protection/>
    </xf>
    <xf numFmtId="39" fontId="7" fillId="2" borderId="35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88"/>
  <sheetViews>
    <sheetView tabSelected="1" zoomScalePageLayoutView="0" workbookViewId="0" topLeftCell="A118">
      <selection activeCell="A133" sqref="A133:IV134"/>
    </sheetView>
  </sheetViews>
  <sheetFormatPr defaultColWidth="9.625" defaultRowHeight="12.75" outlineLevelRow="14"/>
  <cols>
    <col min="1" max="1" width="27.375" style="50" bestFit="1" customWidth="1"/>
    <col min="2" max="2" width="9.125" style="50" customWidth="1"/>
    <col min="3" max="3" width="9.00390625" style="50" customWidth="1"/>
    <col min="4" max="4" width="3.125" style="46" customWidth="1"/>
    <col min="5" max="5" width="15.25390625" style="47" customWidth="1"/>
    <col min="6" max="6" width="9.50390625" style="48" customWidth="1"/>
    <col min="7" max="7" width="3.375" style="48" customWidth="1"/>
    <col min="8" max="8" width="24.50390625" style="49" customWidth="1"/>
    <col min="9" max="9" width="25.625" style="50" customWidth="1"/>
    <col min="10" max="17" width="12.625" style="50" customWidth="1"/>
    <col min="18" max="18" width="2.625" style="50" customWidth="1"/>
    <col min="19" max="19" width="12.625" style="50" customWidth="1"/>
    <col min="20" max="20" width="2.625" style="50" customWidth="1"/>
    <col min="21" max="21" width="12.625" style="50" customWidth="1"/>
    <col min="22" max="22" width="2.625" style="50" customWidth="1"/>
    <col min="23" max="23" width="14.625" style="50" customWidth="1"/>
    <col min="24" max="24" width="12.625" style="50" customWidth="1"/>
    <col min="25" max="25" width="9.625" style="50" customWidth="1"/>
    <col min="26" max="26" width="30.625" style="50" customWidth="1"/>
    <col min="27" max="27" width="2.625" style="50" customWidth="1"/>
    <col min="28" max="28" width="12.625" style="50" customWidth="1"/>
    <col min="29" max="29" width="2.625" style="50" customWidth="1"/>
    <col min="30" max="30" width="12.625" style="50" customWidth="1"/>
    <col min="31" max="31" width="2.625" style="50" customWidth="1"/>
    <col min="32" max="32" width="12.625" style="50" customWidth="1"/>
    <col min="33" max="33" width="2.625" style="50" customWidth="1"/>
    <col min="34" max="34" width="14.625" style="50" customWidth="1"/>
    <col min="35" max="35" width="12.625" style="50" customWidth="1"/>
    <col min="36" max="16384" width="9.625" style="50" customWidth="1"/>
  </cols>
  <sheetData>
    <row r="1" spans="1:3" ht="12.75">
      <c r="A1" s="44" t="s">
        <v>0</v>
      </c>
      <c r="B1" s="45" t="s">
        <v>207</v>
      </c>
      <c r="C1" s="45" t="s">
        <v>206</v>
      </c>
    </row>
    <row r="2" spans="1:4" ht="12.75">
      <c r="A2" s="44" t="s">
        <v>3</v>
      </c>
      <c r="B2" s="51" t="s">
        <v>208</v>
      </c>
      <c r="C2" s="51" t="s">
        <v>209</v>
      </c>
      <c r="D2" s="52"/>
    </row>
    <row r="3" spans="1:8" ht="12.75">
      <c r="A3" s="44"/>
      <c r="B3" s="51"/>
      <c r="C3" s="51"/>
      <c r="D3" s="53"/>
      <c r="H3" s="54" t="s">
        <v>6</v>
      </c>
    </row>
    <row r="4" spans="1:8" ht="12.75">
      <c r="A4" s="55" t="s">
        <v>7</v>
      </c>
      <c r="B4" s="56"/>
      <c r="C4" s="57"/>
      <c r="E4" s="58" t="s">
        <v>7</v>
      </c>
      <c r="F4" s="59"/>
      <c r="G4" s="59"/>
      <c r="H4" s="60"/>
    </row>
    <row r="5" spans="1:8" ht="18" customHeight="1">
      <c r="A5" s="61" t="s">
        <v>8</v>
      </c>
      <c r="B5" s="62">
        <f>F5*B121</f>
        <v>375816</v>
      </c>
      <c r="C5" s="63">
        <f>F5*C121*1.035</f>
        <v>388969.56</v>
      </c>
      <c r="D5" s="64"/>
      <c r="E5" s="65" t="s">
        <v>213</v>
      </c>
      <c r="F5" s="66">
        <v>7</v>
      </c>
      <c r="G5" s="66"/>
      <c r="H5" s="67" t="s">
        <v>9</v>
      </c>
    </row>
    <row r="6" spans="1:8" ht="30.75" customHeight="1">
      <c r="A6" s="61" t="s">
        <v>10</v>
      </c>
      <c r="B6" s="62">
        <f>(2080*G6*F6)</f>
        <v>13520</v>
      </c>
      <c r="C6" s="63">
        <f>(2080*1*F6*1.035)</f>
        <v>13993.199999999999</v>
      </c>
      <c r="D6" s="64"/>
      <c r="E6" s="65" t="s">
        <v>212</v>
      </c>
      <c r="F6" s="66">
        <v>6.5</v>
      </c>
      <c r="G6" s="68">
        <v>1</v>
      </c>
      <c r="H6" s="67" t="s">
        <v>11</v>
      </c>
    </row>
    <row r="7" spans="1:8" ht="29.25" customHeight="1">
      <c r="A7" s="61" t="s">
        <v>12</v>
      </c>
      <c r="B7" s="62">
        <f>F7*G7</f>
        <v>140000</v>
      </c>
      <c r="C7" s="63">
        <f>B7*1.035</f>
        <v>144900</v>
      </c>
      <c r="D7" s="64"/>
      <c r="E7" s="65" t="s">
        <v>214</v>
      </c>
      <c r="F7" s="48">
        <v>20000</v>
      </c>
      <c r="G7" s="69">
        <v>7</v>
      </c>
      <c r="H7" s="67" t="s">
        <v>13</v>
      </c>
    </row>
    <row r="8" spans="1:8" ht="12.75">
      <c r="A8" s="61" t="s">
        <v>14</v>
      </c>
      <c r="B8" s="62">
        <f>55000</f>
        <v>55000</v>
      </c>
      <c r="C8" s="63">
        <f>B8*1.025</f>
        <v>56374.99999999999</v>
      </c>
      <c r="D8" s="64"/>
      <c r="E8" s="65" t="s">
        <v>215</v>
      </c>
      <c r="F8" s="70"/>
      <c r="G8" s="70"/>
      <c r="H8" s="71"/>
    </row>
    <row r="9" spans="1:8" ht="12.75">
      <c r="A9" s="61" t="s">
        <v>15</v>
      </c>
      <c r="B9" s="62">
        <f>C9*(3/12)</f>
        <v>0</v>
      </c>
      <c r="C9" s="63">
        <v>0</v>
      </c>
      <c r="D9" s="64"/>
      <c r="E9" s="65" t="s">
        <v>216</v>
      </c>
      <c r="F9" s="70"/>
      <c r="G9" s="70"/>
      <c r="H9" s="71"/>
    </row>
    <row r="10" spans="1:8" ht="12.75">
      <c r="A10" s="72"/>
      <c r="B10" s="73">
        <f>SUM(B5:B9)</f>
        <v>584336</v>
      </c>
      <c r="C10" s="74">
        <f>SUM(C5:C9)</f>
        <v>604237.76</v>
      </c>
      <c r="D10" s="64"/>
      <c r="E10" s="75"/>
      <c r="F10" s="76"/>
      <c r="G10" s="76"/>
      <c r="H10" s="77"/>
    </row>
    <row r="11" spans="1:8" ht="12.75">
      <c r="A11" s="78"/>
      <c r="B11" s="62"/>
      <c r="C11" s="63"/>
      <c r="D11" s="64"/>
      <c r="E11" s="79"/>
      <c r="H11" s="80"/>
    </row>
    <row r="12" spans="1:8" ht="12.75">
      <c r="A12" s="55" t="s">
        <v>16</v>
      </c>
      <c r="B12" s="56"/>
      <c r="C12" s="57"/>
      <c r="E12" s="58" t="s">
        <v>16</v>
      </c>
      <c r="F12" s="59"/>
      <c r="G12" s="59"/>
      <c r="H12" s="60"/>
    </row>
    <row r="13" spans="1:8" ht="12.75">
      <c r="A13" s="61" t="s">
        <v>17</v>
      </c>
      <c r="B13" s="62">
        <f>H13*(SUM(B5:B9))</f>
        <v>44701.704</v>
      </c>
      <c r="C13" s="63">
        <f>0.0765*(SUM(C5:C9))</f>
        <v>46224.18864</v>
      </c>
      <c r="D13" s="64"/>
      <c r="E13" s="81"/>
      <c r="F13" s="70"/>
      <c r="G13" s="70"/>
      <c r="H13" s="82">
        <v>0.0765</v>
      </c>
    </row>
    <row r="14" spans="1:8" ht="12.75">
      <c r="A14" s="61" t="s">
        <v>18</v>
      </c>
      <c r="B14" s="62">
        <f>(0.0037*(B7+B8+B9))+(0.0688*B6)+(0.0588*B5)</f>
        <v>23749.656799999997</v>
      </c>
      <c r="C14" s="63">
        <f>(0.0037*(C7+C8+C9))+(0.0688*C6)+(0.0588*C5)</f>
        <v>24578.859787999998</v>
      </c>
      <c r="D14" s="64"/>
      <c r="E14" s="83"/>
      <c r="F14" s="70"/>
      <c r="G14" s="70"/>
      <c r="H14" s="80" t="s">
        <v>210</v>
      </c>
    </row>
    <row r="15" spans="1:8" ht="12.75">
      <c r="A15" s="61" t="s">
        <v>21</v>
      </c>
      <c r="B15" s="62">
        <f>0.036*(SUM(B5:B9))</f>
        <v>21036.095999999998</v>
      </c>
      <c r="C15" s="63">
        <f>0.036*(SUM(C5:C9))</f>
        <v>21752.55936</v>
      </c>
      <c r="D15" s="64"/>
      <c r="E15" s="83"/>
      <c r="F15" s="70"/>
      <c r="G15" s="70"/>
      <c r="H15" s="71"/>
    </row>
    <row r="16" spans="1:8" ht="12.75">
      <c r="A16" s="61" t="s">
        <v>19</v>
      </c>
      <c r="B16" s="62">
        <f>(80*12*(B121/2080))+(168*12)+(7*80*12)</f>
        <v>33515.07692307692</v>
      </c>
      <c r="C16" s="63">
        <f>(80*12*(C121/2080))+(168*12)+(7*80*12)*1.03</f>
        <v>33716.67692307692</v>
      </c>
      <c r="D16" s="64"/>
      <c r="E16" s="83"/>
      <c r="F16" s="84"/>
      <c r="G16" s="84"/>
      <c r="H16" s="71"/>
    </row>
    <row r="17" spans="1:8" ht="12.75">
      <c r="A17" s="85"/>
      <c r="B17" s="86"/>
      <c r="C17" s="87"/>
      <c r="D17" s="64"/>
      <c r="E17" s="65" t="s">
        <v>19</v>
      </c>
      <c r="H17" s="80" t="s">
        <v>20</v>
      </c>
    </row>
    <row r="18" spans="1:8" ht="25.5">
      <c r="A18" s="85"/>
      <c r="B18" s="86"/>
      <c r="C18" s="87"/>
      <c r="D18" s="64"/>
      <c r="E18" s="65" t="s">
        <v>19</v>
      </c>
      <c r="H18" s="80" t="s">
        <v>22</v>
      </c>
    </row>
    <row r="19" spans="1:8" ht="12.75">
      <c r="A19" s="85"/>
      <c r="B19" s="86"/>
      <c r="C19" s="87"/>
      <c r="D19" s="64"/>
      <c r="E19" s="65" t="s">
        <v>19</v>
      </c>
      <c r="H19" s="80" t="s">
        <v>23</v>
      </c>
    </row>
    <row r="20" spans="1:8" ht="12.75">
      <c r="A20" s="61" t="s">
        <v>24</v>
      </c>
      <c r="B20" s="62">
        <f>(B121/2080)*0.5*4*50</f>
        <v>2581.153846153846</v>
      </c>
      <c r="C20" s="63">
        <f>B20*1.03</f>
        <v>2658.5884615384616</v>
      </c>
      <c r="D20" s="64"/>
      <c r="E20" s="81"/>
      <c r="F20" s="70"/>
      <c r="G20" s="70"/>
      <c r="H20" s="71"/>
    </row>
    <row r="21" spans="1:8" ht="12.75">
      <c r="A21" s="61" t="s">
        <v>25</v>
      </c>
      <c r="B21" s="62">
        <f>(B121/2080)*52*F21</f>
        <v>8724.300000000001</v>
      </c>
      <c r="C21" s="63">
        <f>B21*1.03</f>
        <v>8986.029</v>
      </c>
      <c r="D21" s="64"/>
      <c r="E21" s="65" t="s">
        <v>25</v>
      </c>
      <c r="F21" s="48">
        <v>6.5</v>
      </c>
      <c r="H21" s="80" t="s">
        <v>26</v>
      </c>
    </row>
    <row r="22" spans="1:8" ht="12.75">
      <c r="A22" s="61" t="s">
        <v>27</v>
      </c>
      <c r="B22" s="62">
        <f>(B121/2080)*(5+6)*8*F5</f>
        <v>15899.907692307692</v>
      </c>
      <c r="C22" s="63">
        <f>B22*1.03</f>
        <v>16376.904923076923</v>
      </c>
      <c r="D22" s="64"/>
      <c r="E22" s="81"/>
      <c r="F22" s="70"/>
      <c r="G22" s="70"/>
      <c r="H22" s="71"/>
    </row>
    <row r="23" spans="1:8" ht="12.75">
      <c r="A23" s="72"/>
      <c r="B23" s="73">
        <f>SUM(B13:B22)</f>
        <v>150207.89526153845</v>
      </c>
      <c r="C23" s="74">
        <f>SUM(C13:C22)</f>
        <v>154293.8070956923</v>
      </c>
      <c r="D23" s="64"/>
      <c r="E23" s="75"/>
      <c r="F23" s="76"/>
      <c r="G23" s="76"/>
      <c r="H23" s="77"/>
    </row>
    <row r="24" spans="1:4" ht="12.75">
      <c r="A24" s="78"/>
      <c r="B24" s="62"/>
      <c r="C24" s="63"/>
      <c r="D24" s="64"/>
    </row>
    <row r="25" spans="1:5" ht="12.75">
      <c r="A25" s="55" t="s">
        <v>28</v>
      </c>
      <c r="B25" s="56"/>
      <c r="C25" s="57"/>
      <c r="E25" s="88"/>
    </row>
    <row r="26" spans="1:4" ht="12.75">
      <c r="A26" s="61" t="s">
        <v>29</v>
      </c>
      <c r="B26" s="62">
        <f>3251*12</f>
        <v>39012</v>
      </c>
      <c r="C26" s="63">
        <f>B26*1.03</f>
        <v>40182.36</v>
      </c>
      <c r="D26" s="64"/>
    </row>
    <row r="27" spans="1:4" ht="12.75">
      <c r="A27" s="61" t="s">
        <v>32</v>
      </c>
      <c r="B27" s="86"/>
      <c r="C27" s="87"/>
      <c r="D27" s="64"/>
    </row>
    <row r="28" spans="1:5" ht="12.75">
      <c r="A28" s="61" t="s">
        <v>34</v>
      </c>
      <c r="B28" s="62">
        <v>0</v>
      </c>
      <c r="C28" s="63">
        <v>0</v>
      </c>
      <c r="D28" s="64"/>
      <c r="E28" s="88"/>
    </row>
    <row r="29" spans="1:5" ht="12.75">
      <c r="A29" s="61" t="s">
        <v>35</v>
      </c>
      <c r="B29" s="62">
        <v>0</v>
      </c>
      <c r="C29" s="63">
        <v>0</v>
      </c>
      <c r="D29" s="64"/>
      <c r="E29" s="88"/>
    </row>
    <row r="30" spans="1:5" ht="12.75">
      <c r="A30" s="61" t="s">
        <v>36</v>
      </c>
      <c r="B30" s="62">
        <v>0</v>
      </c>
      <c r="C30" s="63">
        <v>0</v>
      </c>
      <c r="D30" s="64"/>
      <c r="E30" s="88"/>
    </row>
    <row r="31" spans="1:5" ht="12.75">
      <c r="A31" s="61" t="s">
        <v>38</v>
      </c>
      <c r="B31" s="86"/>
      <c r="C31" s="87"/>
      <c r="D31" s="64"/>
      <c r="E31" s="88"/>
    </row>
    <row r="32" spans="1:5" ht="12.75">
      <c r="A32" s="61" t="s">
        <v>40</v>
      </c>
      <c r="B32" s="62">
        <f>2500/3</f>
        <v>833.3333333333334</v>
      </c>
      <c r="C32" s="63">
        <f>2500/3</f>
        <v>833.3333333333334</v>
      </c>
      <c r="D32" s="64"/>
      <c r="E32" s="88"/>
    </row>
    <row r="33" spans="1:5" ht="12.75">
      <c r="A33" s="61" t="s">
        <v>42</v>
      </c>
      <c r="B33" s="62">
        <f>150*12</f>
        <v>1800</v>
      </c>
      <c r="C33" s="63">
        <f>B33*1.03</f>
        <v>1854</v>
      </c>
      <c r="D33" s="64"/>
      <c r="E33" s="88"/>
    </row>
    <row r="34" spans="1:5" ht="12.75">
      <c r="A34" s="89" t="s">
        <v>43</v>
      </c>
      <c r="B34" s="90">
        <f>100*12</f>
        <v>1200</v>
      </c>
      <c r="C34" s="91">
        <f>B34*1.03</f>
        <v>1236</v>
      </c>
      <c r="D34" s="64"/>
      <c r="E34" s="88"/>
    </row>
    <row r="35" spans="2:7" ht="12.75">
      <c r="B35" s="62"/>
      <c r="C35" s="62"/>
      <c r="D35" s="64"/>
      <c r="G35" s="92"/>
    </row>
    <row r="36" spans="1:7" ht="12.75">
      <c r="A36" s="55" t="s">
        <v>45</v>
      </c>
      <c r="B36" s="93"/>
      <c r="C36" s="94"/>
      <c r="D36" s="64"/>
      <c r="G36" s="92"/>
    </row>
    <row r="37" spans="1:7" ht="12.75">
      <c r="A37" s="61" t="s">
        <v>48</v>
      </c>
      <c r="B37" s="62">
        <f>1200</f>
        <v>1200</v>
      </c>
      <c r="C37" s="63">
        <f>B37*1.03</f>
        <v>1236</v>
      </c>
      <c r="D37" s="64"/>
      <c r="G37" s="92"/>
    </row>
    <row r="38" spans="1:7" ht="12.75">
      <c r="A38" s="61" t="s">
        <v>51</v>
      </c>
      <c r="B38" s="62">
        <v>0</v>
      </c>
      <c r="C38" s="63">
        <v>0</v>
      </c>
      <c r="D38" s="64"/>
      <c r="G38" s="92"/>
    </row>
    <row r="39" spans="1:8" ht="12.75">
      <c r="A39" s="61" t="s">
        <v>53</v>
      </c>
      <c r="B39" s="62">
        <f>1500</f>
        <v>1500</v>
      </c>
      <c r="C39" s="63">
        <f>500</f>
        <v>500</v>
      </c>
      <c r="D39" s="64"/>
      <c r="G39" s="92"/>
      <c r="H39" s="95"/>
    </row>
    <row r="40" spans="1:8" ht="12.75">
      <c r="A40" s="61" t="s">
        <v>56</v>
      </c>
      <c r="B40" s="86"/>
      <c r="C40" s="87"/>
      <c r="D40" s="64"/>
      <c r="G40" s="92"/>
      <c r="H40" s="95"/>
    </row>
    <row r="41" spans="1:8" ht="12.75">
      <c r="A41" s="61" t="s">
        <v>57</v>
      </c>
      <c r="B41" s="62">
        <v>0</v>
      </c>
      <c r="C41" s="63">
        <v>0</v>
      </c>
      <c r="D41" s="64"/>
      <c r="E41" s="88"/>
      <c r="H41" s="95"/>
    </row>
    <row r="42" spans="1:8" ht="12.75">
      <c r="A42" s="61" t="s">
        <v>58</v>
      </c>
      <c r="B42" s="62">
        <f>3000/3</f>
        <v>1000</v>
      </c>
      <c r="C42" s="63">
        <f>3000/3</f>
        <v>1000</v>
      </c>
      <c r="D42" s="64"/>
      <c r="E42" s="88"/>
      <c r="H42" s="95"/>
    </row>
    <row r="43" spans="1:4" ht="12.75">
      <c r="A43" s="61" t="s">
        <v>59</v>
      </c>
      <c r="B43" s="86"/>
      <c r="C43" s="87"/>
      <c r="D43" s="64"/>
    </row>
    <row r="44" spans="1:4" ht="12.75">
      <c r="A44" s="61" t="s">
        <v>61</v>
      </c>
      <c r="B44" s="62">
        <f>500</f>
        <v>500</v>
      </c>
      <c r="C44" s="63">
        <f>B44*1.03</f>
        <v>515</v>
      </c>
      <c r="D44" s="64"/>
    </row>
    <row r="45" spans="1:5" ht="12.75">
      <c r="A45" s="61" t="s">
        <v>63</v>
      </c>
      <c r="B45" s="62">
        <f>2500</f>
        <v>2500</v>
      </c>
      <c r="C45" s="63">
        <f>B45*1.03</f>
        <v>2575</v>
      </c>
      <c r="D45" s="64"/>
      <c r="E45" s="88"/>
    </row>
    <row r="46" spans="1:5" ht="12.75">
      <c r="A46" s="61" t="s">
        <v>64</v>
      </c>
      <c r="B46" s="86"/>
      <c r="C46" s="87"/>
      <c r="D46" s="64"/>
      <c r="E46" s="88"/>
    </row>
    <row r="47" spans="1:8" ht="12.75">
      <c r="A47" s="61" t="s">
        <v>66</v>
      </c>
      <c r="B47" s="62">
        <f>(B125*2780)+(B126*3483)+(B127*2500)</f>
        <v>55136</v>
      </c>
      <c r="C47" s="63">
        <f>((C125*2780)+(C126*3483)+(C127*2500))*1.035</f>
        <v>57065.759999999995</v>
      </c>
      <c r="D47" s="64"/>
      <c r="F47" s="50"/>
      <c r="G47" s="50"/>
      <c r="H47" s="47"/>
    </row>
    <row r="48" spans="1:8" ht="12.75">
      <c r="A48" s="85"/>
      <c r="B48" s="86"/>
      <c r="C48" s="87"/>
      <c r="D48" s="64"/>
      <c r="E48" s="96" t="s">
        <v>30</v>
      </c>
      <c r="F48" s="59"/>
      <c r="G48" s="59"/>
      <c r="H48" s="97" t="s">
        <v>31</v>
      </c>
    </row>
    <row r="49" spans="1:8" ht="12.75">
      <c r="A49" s="85"/>
      <c r="B49" s="86"/>
      <c r="C49" s="87"/>
      <c r="D49" s="64"/>
      <c r="E49" s="98" t="s">
        <v>30</v>
      </c>
      <c r="F49" s="76"/>
      <c r="G49" s="76"/>
      <c r="H49" s="99" t="s">
        <v>33</v>
      </c>
    </row>
    <row r="50" spans="1:8" ht="12.75">
      <c r="A50" s="61" t="s">
        <v>68</v>
      </c>
      <c r="B50" s="62">
        <f>1000</f>
        <v>1000</v>
      </c>
      <c r="C50" s="63">
        <f>B50*1.03</f>
        <v>1030</v>
      </c>
      <c r="D50" s="64"/>
      <c r="E50" s="88"/>
      <c r="H50" s="47"/>
    </row>
    <row r="51" spans="1:7" ht="12.75">
      <c r="A51" s="61" t="s">
        <v>70</v>
      </c>
      <c r="B51" s="62">
        <f>500</f>
        <v>500</v>
      </c>
      <c r="C51" s="63">
        <f>B51*1.03</f>
        <v>515</v>
      </c>
      <c r="D51" s="64"/>
      <c r="E51" s="88"/>
      <c r="F51" s="100"/>
      <c r="G51" s="100"/>
    </row>
    <row r="52" spans="1:6" ht="12.75">
      <c r="A52" s="61" t="s">
        <v>37</v>
      </c>
      <c r="B52" s="86"/>
      <c r="C52" s="87"/>
      <c r="D52" s="64"/>
      <c r="E52" s="96" t="s">
        <v>37</v>
      </c>
      <c r="F52" s="101"/>
    </row>
    <row r="53" spans="1:6" ht="12.75">
      <c r="A53" s="61" t="s">
        <v>39</v>
      </c>
      <c r="B53" s="62">
        <f>7000/3</f>
        <v>2333.3333333333335</v>
      </c>
      <c r="C53" s="63">
        <f>7000/3</f>
        <v>2333.3333333333335</v>
      </c>
      <c r="D53" s="64"/>
      <c r="E53" s="65" t="s">
        <v>39</v>
      </c>
      <c r="F53" s="102">
        <v>7000</v>
      </c>
    </row>
    <row r="54" spans="1:6" ht="12.75">
      <c r="A54" s="61" t="s">
        <v>41</v>
      </c>
      <c r="B54" s="62">
        <f>33000/3</f>
        <v>11000</v>
      </c>
      <c r="C54" s="63">
        <f>33000/3</f>
        <v>11000</v>
      </c>
      <c r="D54" s="64"/>
      <c r="E54" s="98" t="s">
        <v>41</v>
      </c>
      <c r="F54" s="103">
        <v>33000</v>
      </c>
    </row>
    <row r="55" spans="1:7" ht="12.75">
      <c r="A55" s="89" t="s">
        <v>75</v>
      </c>
      <c r="B55" s="90">
        <f>500</f>
        <v>500</v>
      </c>
      <c r="C55" s="91">
        <f>B55*1.03</f>
        <v>515</v>
      </c>
      <c r="D55" s="64"/>
      <c r="E55" s="88"/>
      <c r="F55" s="100"/>
      <c r="G55" s="100"/>
    </row>
    <row r="56" spans="5:7" ht="12.75">
      <c r="E56" s="88"/>
      <c r="F56" s="100"/>
      <c r="G56" s="100"/>
    </row>
    <row r="57" spans="1:7" ht="12.75">
      <c r="A57" s="55" t="s">
        <v>78</v>
      </c>
      <c r="B57" s="56"/>
      <c r="C57" s="57"/>
      <c r="E57" s="88"/>
      <c r="F57" s="100"/>
      <c r="G57" s="100"/>
    </row>
    <row r="58" spans="1:5" ht="12.75">
      <c r="A58" s="61" t="s">
        <v>79</v>
      </c>
      <c r="B58" s="84"/>
      <c r="C58" s="104"/>
      <c r="E58" s="88"/>
    </row>
    <row r="59" spans="1:5" ht="12.75">
      <c r="A59" s="61" t="s">
        <v>80</v>
      </c>
      <c r="B59" s="62">
        <f>(B125+B126)*1</f>
        <v>15</v>
      </c>
      <c r="C59" s="63">
        <f>(C125+C126)*1</f>
        <v>15</v>
      </c>
      <c r="D59" s="64"/>
      <c r="E59" s="88"/>
    </row>
    <row r="60" spans="1:8" ht="12.75">
      <c r="A60" s="61" t="s">
        <v>44</v>
      </c>
      <c r="B60" s="86"/>
      <c r="C60" s="87"/>
      <c r="D60" s="64"/>
      <c r="E60" s="96" t="s">
        <v>44</v>
      </c>
      <c r="F60" s="59"/>
      <c r="G60" s="59"/>
      <c r="H60" s="60"/>
    </row>
    <row r="61" spans="1:8" ht="12.75">
      <c r="A61" s="61" t="s">
        <v>46</v>
      </c>
      <c r="B61" s="62">
        <f>(B117*0.004*6)</f>
        <v>18039.168</v>
      </c>
      <c r="C61" s="63">
        <f>(C117*0.004*6)</f>
        <v>18039.168</v>
      </c>
      <c r="D61" s="64"/>
      <c r="E61" s="65" t="s">
        <v>46</v>
      </c>
      <c r="F61" s="70"/>
      <c r="G61" s="70"/>
      <c r="H61" s="80" t="s">
        <v>47</v>
      </c>
    </row>
    <row r="62" spans="1:8" ht="12.75">
      <c r="A62" s="61" t="s">
        <v>49</v>
      </c>
      <c r="B62" s="62">
        <f>B117*0.13</f>
        <v>97712.16</v>
      </c>
      <c r="C62" s="63">
        <f>C117*0.13</f>
        <v>97712.16</v>
      </c>
      <c r="D62" s="64"/>
      <c r="E62" s="65" t="s">
        <v>49</v>
      </c>
      <c r="F62" s="70"/>
      <c r="G62" s="70"/>
      <c r="H62" s="67" t="s">
        <v>50</v>
      </c>
    </row>
    <row r="63" spans="1:8" ht="12.75">
      <c r="A63" s="61" t="s">
        <v>52</v>
      </c>
      <c r="B63" s="62">
        <f>1200</f>
        <v>1200</v>
      </c>
      <c r="C63" s="63">
        <f>B63*1.03</f>
        <v>1236</v>
      </c>
      <c r="D63" s="64"/>
      <c r="E63" s="65" t="s">
        <v>52</v>
      </c>
      <c r="F63" s="70"/>
      <c r="G63" s="70"/>
      <c r="H63" s="71"/>
    </row>
    <row r="64" spans="1:8" ht="12.75">
      <c r="A64" s="61" t="s">
        <v>54</v>
      </c>
      <c r="B64" s="62">
        <f>B117*0.02</f>
        <v>15032.64</v>
      </c>
      <c r="C64" s="63">
        <f>C117*0.02</f>
        <v>15032.64</v>
      </c>
      <c r="D64" s="64"/>
      <c r="E64" s="98" t="s">
        <v>54</v>
      </c>
      <c r="F64" s="76"/>
      <c r="G64" s="76"/>
      <c r="H64" s="99" t="s">
        <v>55</v>
      </c>
    </row>
    <row r="65" spans="1:5" ht="12.75">
      <c r="A65" s="61" t="s">
        <v>81</v>
      </c>
      <c r="B65" s="62">
        <f>(200/15*307)*1.15</f>
        <v>4707.333333333333</v>
      </c>
      <c r="C65" s="63">
        <f>B65*1.03</f>
        <v>4848.553333333333</v>
      </c>
      <c r="D65" s="64"/>
      <c r="E65" s="88"/>
    </row>
    <row r="66" spans="1:5" ht="12.75">
      <c r="A66" s="61" t="s">
        <v>82</v>
      </c>
      <c r="B66" s="62">
        <f>(B117/4000)*100</f>
        <v>18790.8</v>
      </c>
      <c r="C66" s="63">
        <f>B66*1.03</f>
        <v>19354.524</v>
      </c>
      <c r="D66" s="64"/>
      <c r="E66" s="88"/>
    </row>
    <row r="67" spans="1:4" ht="12.75">
      <c r="A67" s="61" t="s">
        <v>83</v>
      </c>
      <c r="B67" s="62">
        <f>35*2*12</f>
        <v>840</v>
      </c>
      <c r="C67" s="63">
        <f>B67*1.03</f>
        <v>865.2</v>
      </c>
      <c r="D67" s="64"/>
    </row>
    <row r="68" spans="1:9" ht="12.75">
      <c r="A68" s="61" t="s">
        <v>84</v>
      </c>
      <c r="B68" s="86"/>
      <c r="C68" s="87"/>
      <c r="D68" s="64"/>
      <c r="G68" s="100"/>
      <c r="I68" s="105"/>
    </row>
    <row r="69" spans="1:9" ht="12.75">
      <c r="A69" s="61" t="s">
        <v>85</v>
      </c>
      <c r="B69" s="62">
        <v>0</v>
      </c>
      <c r="C69" s="63">
        <v>0</v>
      </c>
      <c r="D69" s="64"/>
      <c r="G69" s="100"/>
      <c r="I69" s="105"/>
    </row>
    <row r="70" spans="1:9" ht="12.75">
      <c r="A70" s="61" t="s">
        <v>86</v>
      </c>
      <c r="B70" s="62">
        <v>0</v>
      </c>
      <c r="C70" s="63">
        <v>0</v>
      </c>
      <c r="D70" s="64"/>
      <c r="G70" s="100"/>
      <c r="I70" s="105"/>
    </row>
    <row r="71" spans="1:9" ht="12.75">
      <c r="A71" s="61" t="s">
        <v>44</v>
      </c>
      <c r="B71" s="62">
        <v>0</v>
      </c>
      <c r="C71" s="63">
        <f>5*50*1.03</f>
        <v>257.5</v>
      </c>
      <c r="D71" s="64"/>
      <c r="G71" s="100"/>
      <c r="I71" s="105"/>
    </row>
    <row r="72" spans="1:9" ht="12.75">
      <c r="A72" s="61" t="s">
        <v>87</v>
      </c>
      <c r="B72" s="106"/>
      <c r="C72" s="107"/>
      <c r="D72" s="64"/>
      <c r="G72" s="100"/>
      <c r="I72" s="105"/>
    </row>
    <row r="73" spans="1:7" ht="12.75">
      <c r="A73" s="61" t="s">
        <v>80</v>
      </c>
      <c r="B73" s="62">
        <f>C73*(3/12)</f>
        <v>0</v>
      </c>
      <c r="C73" s="63">
        <v>0</v>
      </c>
      <c r="D73" s="64"/>
      <c r="G73" s="108"/>
    </row>
    <row r="74" spans="1:9" ht="12.75">
      <c r="A74" s="61" t="s">
        <v>86</v>
      </c>
      <c r="B74" s="62">
        <f>C74*(3/12)</f>
        <v>0</v>
      </c>
      <c r="C74" s="63">
        <v>0</v>
      </c>
      <c r="D74" s="64"/>
      <c r="G74" s="100"/>
      <c r="I74" s="105"/>
    </row>
    <row r="75" spans="1:9" ht="12.75">
      <c r="A75" s="61" t="s">
        <v>88</v>
      </c>
      <c r="B75" s="62">
        <f>500</f>
        <v>500</v>
      </c>
      <c r="C75" s="63">
        <f>500</f>
        <v>500</v>
      </c>
      <c r="D75" s="64"/>
      <c r="G75" s="100"/>
      <c r="I75" s="105"/>
    </row>
    <row r="76" spans="1:9" ht="12.75">
      <c r="A76" s="89" t="s">
        <v>89</v>
      </c>
      <c r="B76" s="90">
        <f>F85/3</f>
        <v>12967.743589743588</v>
      </c>
      <c r="C76" s="91">
        <f>F85/3</f>
        <v>12967.743589743588</v>
      </c>
      <c r="D76" s="64"/>
      <c r="E76" s="58" t="s">
        <v>65</v>
      </c>
      <c r="F76" s="101"/>
      <c r="G76" s="100"/>
      <c r="I76" s="105"/>
    </row>
    <row r="77" spans="1:9" ht="12.75">
      <c r="A77" s="109"/>
      <c r="B77" s="62"/>
      <c r="C77" s="62"/>
      <c r="D77" s="64"/>
      <c r="E77" s="65" t="s">
        <v>67</v>
      </c>
      <c r="F77" s="110">
        <v>4986</v>
      </c>
      <c r="G77" s="100"/>
      <c r="I77" s="105"/>
    </row>
    <row r="78" spans="1:9" ht="12.75">
      <c r="A78" s="109"/>
      <c r="B78" s="62"/>
      <c r="C78" s="62"/>
      <c r="D78" s="64"/>
      <c r="E78" s="65" t="s">
        <v>69</v>
      </c>
      <c r="F78" s="110">
        <f>(4*40*(55000/2080))+(2*80*(20000/2080))</f>
        <v>5769.230769230769</v>
      </c>
      <c r="G78" s="100"/>
      <c r="I78" s="105"/>
    </row>
    <row r="79" spans="1:9" ht="12.75">
      <c r="A79" s="109"/>
      <c r="B79" s="62"/>
      <c r="C79" s="62"/>
      <c r="D79" s="64"/>
      <c r="E79" s="65" t="s">
        <v>71</v>
      </c>
      <c r="F79" s="110">
        <f>24*7*20+40*6.25*15</f>
        <v>7110</v>
      </c>
      <c r="G79" s="100"/>
      <c r="I79" s="105"/>
    </row>
    <row r="80" spans="1:9" ht="12.75">
      <c r="A80" s="109"/>
      <c r="B80" s="62"/>
      <c r="C80" s="62"/>
      <c r="D80" s="64"/>
      <c r="E80" s="65" t="s">
        <v>72</v>
      </c>
      <c r="F80" s="110">
        <f>4*4*6.5*30</f>
        <v>3120</v>
      </c>
      <c r="G80" s="100"/>
      <c r="I80" s="105"/>
    </row>
    <row r="81" spans="1:9" ht="12.75">
      <c r="A81" s="109"/>
      <c r="B81" s="62"/>
      <c r="C81" s="62"/>
      <c r="D81" s="64"/>
      <c r="E81" s="65" t="s">
        <v>73</v>
      </c>
      <c r="F81" s="110">
        <v>918</v>
      </c>
      <c r="G81" s="100"/>
      <c r="I81" s="105"/>
    </row>
    <row r="82" spans="1:9" ht="12.75">
      <c r="A82" s="109"/>
      <c r="B82" s="62"/>
      <c r="C82" s="62"/>
      <c r="D82" s="64"/>
      <c r="E82" s="65" t="s">
        <v>74</v>
      </c>
      <c r="F82" s="111"/>
      <c r="G82" s="100"/>
      <c r="I82" s="105"/>
    </row>
    <row r="83" spans="1:9" ht="12.75">
      <c r="A83" s="109"/>
      <c r="B83" s="62"/>
      <c r="C83" s="62"/>
      <c r="D83" s="64"/>
      <c r="E83" s="65" t="s">
        <v>76</v>
      </c>
      <c r="F83" s="110">
        <v>15000</v>
      </c>
      <c r="G83" s="100"/>
      <c r="I83" s="105"/>
    </row>
    <row r="84" spans="1:9" ht="12.75">
      <c r="A84" s="109"/>
      <c r="B84" s="62"/>
      <c r="C84" s="62"/>
      <c r="D84" s="64"/>
      <c r="E84" s="65" t="s">
        <v>77</v>
      </c>
      <c r="F84" s="110">
        <v>2000</v>
      </c>
      <c r="G84" s="100"/>
      <c r="I84" s="105"/>
    </row>
    <row r="85" spans="2:7" ht="12.75">
      <c r="B85" s="62"/>
      <c r="C85" s="62"/>
      <c r="D85" s="64"/>
      <c r="E85" s="112"/>
      <c r="F85" s="113">
        <f>SUM(F77:F84)</f>
        <v>38903.230769230766</v>
      </c>
      <c r="G85" s="114"/>
    </row>
    <row r="86" spans="1:7" ht="12.75">
      <c r="A86" s="55" t="s">
        <v>90</v>
      </c>
      <c r="B86" s="93"/>
      <c r="C86" s="94"/>
      <c r="D86" s="64"/>
      <c r="F86" s="50"/>
      <c r="G86" s="114"/>
    </row>
    <row r="87" spans="1:7" ht="12.75">
      <c r="A87" s="61" t="s">
        <v>91</v>
      </c>
      <c r="B87" s="62">
        <f>C87*(3/12)</f>
        <v>0</v>
      </c>
      <c r="C87" s="63">
        <v>0</v>
      </c>
      <c r="D87" s="64"/>
      <c r="F87" s="50"/>
      <c r="G87" s="114"/>
    </row>
    <row r="88" spans="1:7" ht="12.75">
      <c r="A88" s="61" t="s">
        <v>92</v>
      </c>
      <c r="B88" s="62">
        <f>C88*(3/12)</f>
        <v>0</v>
      </c>
      <c r="C88" s="63">
        <v>0</v>
      </c>
      <c r="D88" s="64"/>
      <c r="F88" s="50"/>
      <c r="G88" s="114"/>
    </row>
    <row r="89" spans="1:6" ht="12.75">
      <c r="A89" s="115" t="s">
        <v>204</v>
      </c>
      <c r="B89" s="62">
        <v>0</v>
      </c>
      <c r="C89" s="63">
        <v>0</v>
      </c>
      <c r="D89" s="64"/>
      <c r="F89" s="50"/>
    </row>
    <row r="90" spans="1:7" ht="12.75">
      <c r="A90" s="115" t="s">
        <v>205</v>
      </c>
      <c r="B90" s="62">
        <v>0</v>
      </c>
      <c r="C90" s="63">
        <v>0</v>
      </c>
      <c r="D90" s="64"/>
      <c r="F90" s="50"/>
      <c r="G90" s="114"/>
    </row>
    <row r="91" spans="1:7" ht="12.75">
      <c r="A91" s="61" t="s">
        <v>93</v>
      </c>
      <c r="B91" s="62">
        <f>250</f>
        <v>250</v>
      </c>
      <c r="C91" s="63">
        <f>250</f>
        <v>250</v>
      </c>
      <c r="D91" s="64"/>
      <c r="F91" s="50"/>
      <c r="G91" s="114"/>
    </row>
    <row r="92" spans="1:7" ht="12.75">
      <c r="A92" s="89" t="s">
        <v>94</v>
      </c>
      <c r="B92" s="90">
        <f>C92*(3/12)</f>
        <v>0</v>
      </c>
      <c r="C92" s="91">
        <v>0</v>
      </c>
      <c r="D92" s="64"/>
      <c r="F92" s="50"/>
      <c r="G92" s="114"/>
    </row>
    <row r="93" spans="2:6" ht="12.75">
      <c r="B93" s="62"/>
      <c r="C93" s="62"/>
      <c r="D93" s="64"/>
      <c r="F93" s="50"/>
    </row>
    <row r="94" spans="1:5" ht="12.75">
      <c r="A94" s="55" t="s">
        <v>95</v>
      </c>
      <c r="B94" s="93"/>
      <c r="C94" s="94"/>
      <c r="D94" s="64"/>
      <c r="E94" s="88"/>
    </row>
    <row r="95" spans="1:5" ht="12.75">
      <c r="A95" s="61" t="s">
        <v>96</v>
      </c>
      <c r="B95" s="62">
        <f>1500/3</f>
        <v>500</v>
      </c>
      <c r="C95" s="63">
        <f>1500/3</f>
        <v>500</v>
      </c>
      <c r="D95" s="64"/>
      <c r="E95" s="88"/>
    </row>
    <row r="96" spans="1:5" ht="12.75">
      <c r="A96" s="61" t="s">
        <v>97</v>
      </c>
      <c r="B96" s="62">
        <v>0</v>
      </c>
      <c r="C96" s="63">
        <v>0</v>
      </c>
      <c r="D96" s="64"/>
      <c r="E96" s="88"/>
    </row>
    <row r="97" spans="1:5" ht="12.75">
      <c r="A97" s="61" t="s">
        <v>98</v>
      </c>
      <c r="B97" s="62">
        <f>B127*300*12</f>
        <v>7200</v>
      </c>
      <c r="C97" s="63">
        <f>C127*300*12</f>
        <v>7200</v>
      </c>
      <c r="D97" s="64"/>
      <c r="E97" s="88"/>
    </row>
    <row r="98" spans="1:5" ht="12.75">
      <c r="A98" s="61"/>
      <c r="B98" s="62">
        <v>0</v>
      </c>
      <c r="C98" s="63">
        <v>0</v>
      </c>
      <c r="D98" s="64"/>
      <c r="E98" s="88"/>
    </row>
    <row r="99" spans="1:5" ht="12.75">
      <c r="A99" s="89" t="s">
        <v>99</v>
      </c>
      <c r="B99" s="90">
        <v>0</v>
      </c>
      <c r="C99" s="91">
        <v>0</v>
      </c>
      <c r="D99" s="64"/>
      <c r="E99" s="88"/>
    </row>
    <row r="100" spans="2:4" ht="20.25" customHeight="1">
      <c r="B100" s="62"/>
      <c r="C100" s="62"/>
      <c r="D100" s="64"/>
    </row>
    <row r="101" spans="1:5" ht="12.75">
      <c r="A101" s="116" t="s">
        <v>100</v>
      </c>
      <c r="B101" s="117">
        <f>SUM(B5:B99)-B10-B23</f>
        <v>1032313.4068512814</v>
      </c>
      <c r="C101" s="118">
        <f>SUM(C5:C99)-C10-C23</f>
        <v>1059700.8426854357</v>
      </c>
      <c r="D101" s="64"/>
      <c r="E101" s="88"/>
    </row>
    <row r="102" ht="12.75" customHeight="1">
      <c r="A102" s="119"/>
    </row>
    <row r="103" spans="1:6" ht="12.75">
      <c r="A103" s="55" t="s">
        <v>60</v>
      </c>
      <c r="B103" s="120">
        <f>F103*B101</f>
        <v>72261.9384795897</v>
      </c>
      <c r="C103" s="121">
        <f>0.07*C101</f>
        <v>74179.0589879805</v>
      </c>
      <c r="D103" s="64"/>
      <c r="E103" s="88"/>
      <c r="F103" s="122">
        <v>0.07</v>
      </c>
    </row>
    <row r="104" spans="1:6" ht="12.75">
      <c r="A104" s="123" t="s">
        <v>62</v>
      </c>
      <c r="B104" s="90">
        <f>F104*B101</f>
        <v>103231.34068512815</v>
      </c>
      <c r="C104" s="91">
        <f>0.1*C101</f>
        <v>105970.08426854358</v>
      </c>
      <c r="D104" s="64"/>
      <c r="E104" s="88"/>
      <c r="F104" s="124">
        <v>0.1</v>
      </c>
    </row>
    <row r="105" ht="12.75">
      <c r="A105" s="119"/>
    </row>
    <row r="106" spans="1:5" ht="12.75">
      <c r="A106" s="116" t="s">
        <v>101</v>
      </c>
      <c r="B106" s="117">
        <f>(B101+B103+B104)</f>
        <v>1207806.6860159994</v>
      </c>
      <c r="C106" s="118">
        <f>(C101+C103+C104)</f>
        <v>1239849.9859419598</v>
      </c>
      <c r="D106" s="64"/>
      <c r="E106" s="125"/>
    </row>
    <row r="107" spans="1:5" ht="12.75">
      <c r="A107" s="126" t="s">
        <v>102</v>
      </c>
      <c r="B107" s="126"/>
      <c r="C107" s="126"/>
      <c r="D107" s="127"/>
      <c r="E107" s="128"/>
    </row>
    <row r="108" spans="1:4" ht="12.75">
      <c r="A108" s="129" t="s">
        <v>103</v>
      </c>
      <c r="B108" s="130" t="s">
        <v>104</v>
      </c>
      <c r="C108" s="131" t="s">
        <v>104</v>
      </c>
      <c r="D108" s="132"/>
    </row>
    <row r="109" spans="1:4" ht="12.75">
      <c r="A109" s="133" t="s">
        <v>105</v>
      </c>
      <c r="B109" s="134">
        <f>((B106)/B119)</f>
        <v>26.99612619615555</v>
      </c>
      <c r="C109" s="135">
        <f>((C106)/C119)</f>
        <v>27.712337638398743</v>
      </c>
      <c r="D109" s="136"/>
    </row>
    <row r="110" spans="1:4" ht="12.75">
      <c r="A110" s="61" t="s">
        <v>106</v>
      </c>
      <c r="B110" s="105">
        <f>(B106/B115)</f>
        <v>1.9282947282968252</v>
      </c>
      <c r="C110" s="137">
        <f>(C106/C115)</f>
        <v>1.9794526884570531</v>
      </c>
      <c r="D110" s="138"/>
    </row>
    <row r="111" spans="1:4" ht="12.75">
      <c r="A111" s="61" t="s">
        <v>107</v>
      </c>
      <c r="B111" s="105">
        <f>(B106/B121)</f>
        <v>22.496771830129628</v>
      </c>
      <c r="C111" s="137">
        <f>(C106/C121)</f>
        <v>23.09361469866562</v>
      </c>
      <c r="D111" s="138"/>
    </row>
    <row r="112" spans="1:4" ht="12.75">
      <c r="A112" s="61" t="s">
        <v>108</v>
      </c>
      <c r="B112" s="105">
        <f>(B106/B117)</f>
        <v>1.6069122735806876</v>
      </c>
      <c r="C112" s="137">
        <f>(C106/C117)</f>
        <v>1.6495439070475442</v>
      </c>
      <c r="D112" s="138"/>
    </row>
    <row r="113" spans="1:4" ht="12.75">
      <c r="A113" s="61" t="s">
        <v>109</v>
      </c>
      <c r="B113" s="105">
        <f>(B5+((SUM(B13:B22)*B5/B10))+B39+(SUM(B61:B66))+B103+B104)/B115</f>
        <v>1.2850400183026096</v>
      </c>
      <c r="C113" s="137">
        <f>(C5+((SUM(C13:C22)*C5/C10))+C39+(SUM(C61:C66))+C103+C104)/C115</f>
        <v>1.3173992862244872</v>
      </c>
      <c r="D113" s="138"/>
    </row>
    <row r="114" spans="1:3" ht="12.75">
      <c r="A114" s="139"/>
      <c r="B114" s="84"/>
      <c r="C114" s="104"/>
    </row>
    <row r="115" spans="1:4" ht="12.75">
      <c r="A115" s="61" t="s">
        <v>110</v>
      </c>
      <c r="B115" s="140">
        <v>626360</v>
      </c>
      <c r="C115" s="141">
        <v>626360</v>
      </c>
      <c r="D115" s="142"/>
    </row>
    <row r="116" spans="1:3" ht="12.75">
      <c r="A116" s="139"/>
      <c r="B116" s="84" t="s">
        <v>104</v>
      </c>
      <c r="C116" s="104" t="s">
        <v>104</v>
      </c>
    </row>
    <row r="117" spans="1:6" ht="12.75">
      <c r="A117" s="61" t="s">
        <v>111</v>
      </c>
      <c r="B117" s="140">
        <f>(B115*1.2)</f>
        <v>751632</v>
      </c>
      <c r="C117" s="141">
        <f>(C115*1.2)</f>
        <v>751632</v>
      </c>
      <c r="D117" s="142"/>
      <c r="F117" s="143">
        <v>0.002</v>
      </c>
    </row>
    <row r="118" spans="1:4" ht="12.75">
      <c r="A118" s="139"/>
      <c r="B118" s="144"/>
      <c r="C118" s="145"/>
      <c r="D118" s="142"/>
    </row>
    <row r="119" spans="1:4" ht="12.75">
      <c r="A119" s="61" t="s">
        <v>112</v>
      </c>
      <c r="B119" s="140">
        <v>44740</v>
      </c>
      <c r="C119" s="141">
        <v>44740</v>
      </c>
      <c r="D119" s="142"/>
    </row>
    <row r="120" spans="1:4" ht="12.75">
      <c r="A120" s="139"/>
      <c r="B120" s="144"/>
      <c r="C120" s="145"/>
      <c r="D120" s="142"/>
    </row>
    <row r="121" spans="1:6" ht="12.75">
      <c r="A121" s="61" t="s">
        <v>113</v>
      </c>
      <c r="B121" s="140">
        <f>(B119*1.2)</f>
        <v>53688</v>
      </c>
      <c r="C121" s="141">
        <f>(C119*1.2)</f>
        <v>53688</v>
      </c>
      <c r="D121" s="142"/>
      <c r="F121" s="143">
        <v>0.002</v>
      </c>
    </row>
    <row r="122" spans="1:4" ht="12.75">
      <c r="A122" s="139"/>
      <c r="B122" s="144"/>
      <c r="C122" s="145"/>
      <c r="D122" s="142"/>
    </row>
    <row r="123" spans="1:4" ht="12.75">
      <c r="A123" s="61" t="s">
        <v>114</v>
      </c>
      <c r="B123" s="144"/>
      <c r="C123" s="145"/>
      <c r="D123" s="142"/>
    </row>
    <row r="124" spans="1:4" ht="12.75">
      <c r="A124" s="61" t="s">
        <v>115</v>
      </c>
      <c r="B124" s="62">
        <f>(B125*F125)+(B126*F126)</f>
        <v>915000</v>
      </c>
      <c r="C124" s="63">
        <v>0</v>
      </c>
      <c r="D124" s="64"/>
    </row>
    <row r="125" spans="1:6" ht="12.75">
      <c r="A125" s="61" t="s">
        <v>116</v>
      </c>
      <c r="B125" s="140">
        <v>3</v>
      </c>
      <c r="C125" s="141">
        <v>3</v>
      </c>
      <c r="D125" s="142"/>
      <c r="F125" s="146">
        <v>45000</v>
      </c>
    </row>
    <row r="126" spans="1:6" ht="12.75">
      <c r="A126" s="61" t="s">
        <v>117</v>
      </c>
      <c r="B126" s="140">
        <v>12</v>
      </c>
      <c r="C126" s="141">
        <v>12</v>
      </c>
      <c r="D126" s="142"/>
      <c r="F126" s="146">
        <v>65000</v>
      </c>
    </row>
    <row r="127" spans="1:6" ht="12.75">
      <c r="A127" s="61" t="s">
        <v>118</v>
      </c>
      <c r="B127" s="140">
        <v>2</v>
      </c>
      <c r="C127" s="141">
        <v>2</v>
      </c>
      <c r="D127" s="142"/>
      <c r="F127" s="146">
        <v>18000</v>
      </c>
    </row>
    <row r="128" spans="1:4" ht="12.75">
      <c r="A128" s="89" t="s">
        <v>119</v>
      </c>
      <c r="B128" s="147">
        <f>(B125+B126+B127)</f>
        <v>17</v>
      </c>
      <c r="C128" s="148">
        <f>(C125+C126+C127)</f>
        <v>17</v>
      </c>
      <c r="D128" s="142"/>
    </row>
    <row r="130" spans="1:4" ht="12.75">
      <c r="A130" s="126" t="s">
        <v>120</v>
      </c>
      <c r="B130" s="126"/>
      <c r="C130" s="126"/>
      <c r="D130" s="127"/>
    </row>
    <row r="131" spans="1:4" ht="12.75">
      <c r="A131" s="126" t="s">
        <v>120</v>
      </c>
      <c r="B131" s="126"/>
      <c r="C131" s="126"/>
      <c r="D131" s="127"/>
    </row>
    <row r="132" spans="1:4" ht="12.75">
      <c r="A132" s="126"/>
      <c r="B132" s="126"/>
      <c r="C132" s="126"/>
      <c r="D132" s="127"/>
    </row>
    <row r="133" spans="1:4" ht="12.75" hidden="1">
      <c r="A133" s="126"/>
      <c r="B133" s="126"/>
      <c r="C133" s="126"/>
      <c r="D133" s="127"/>
    </row>
    <row r="134" spans="1:4" ht="12.75" hidden="1">
      <c r="A134" s="126"/>
      <c r="B134" s="126"/>
      <c r="C134" s="126"/>
      <c r="D134" s="127"/>
    </row>
    <row r="135" spans="1:4" ht="12.75">
      <c r="A135" s="126"/>
      <c r="B135" s="126"/>
      <c r="C135" s="126"/>
      <c r="D135" s="127"/>
    </row>
    <row r="136" spans="1:3" ht="12.75">
      <c r="A136" s="149" t="s">
        <v>121</v>
      </c>
      <c r="B136" s="150">
        <v>22.45</v>
      </c>
      <c r="C136" s="151"/>
    </row>
    <row r="137" spans="1:4" ht="12.75">
      <c r="A137" s="152" t="s">
        <v>211</v>
      </c>
      <c r="C137" s="153"/>
      <c r="D137" s="154"/>
    </row>
    <row r="138" spans="1:3" ht="6.75" customHeight="1">
      <c r="A138" s="78"/>
      <c r="C138" s="153"/>
    </row>
    <row r="139" spans="1:3" ht="6.75" customHeight="1">
      <c r="A139" s="78"/>
      <c r="C139" s="153"/>
    </row>
    <row r="140" spans="1:4" ht="12.75">
      <c r="A140" s="155" t="str">
        <f>+A1</f>
        <v>From</v>
      </c>
      <c r="B140" s="45" t="s">
        <v>1</v>
      </c>
      <c r="C140" s="156" t="s">
        <v>2</v>
      </c>
      <c r="D140" s="157"/>
    </row>
    <row r="141" spans="1:4" ht="12.75">
      <c r="A141" s="155" t="str">
        <f>+A2</f>
        <v>To</v>
      </c>
      <c r="B141" s="51" t="s">
        <v>4</v>
      </c>
      <c r="C141" s="158" t="s">
        <v>5</v>
      </c>
      <c r="D141" s="53"/>
    </row>
    <row r="142" spans="1:3" ht="12.75">
      <c r="A142" s="78"/>
      <c r="C142" s="153"/>
    </row>
    <row r="143" spans="1:4" ht="12.75">
      <c r="A143" s="78" t="s">
        <v>122</v>
      </c>
      <c r="B143" s="159">
        <f>+B119</f>
        <v>44740</v>
      </c>
      <c r="C143" s="160">
        <f>+C119</f>
        <v>44740</v>
      </c>
      <c r="D143" s="161"/>
    </row>
    <row r="144" spans="1:4" ht="12.75">
      <c r="A144" s="78" t="s">
        <v>123</v>
      </c>
      <c r="B144" s="140">
        <f>B115</f>
        <v>626360</v>
      </c>
      <c r="C144" s="141">
        <f>C115</f>
        <v>626360</v>
      </c>
      <c r="D144" s="142"/>
    </row>
    <row r="145" spans="1:3" ht="12.75">
      <c r="A145" s="162" t="s">
        <v>124</v>
      </c>
      <c r="C145" s="153"/>
    </row>
    <row r="146" spans="1:4" ht="12.75">
      <c r="A146" s="78" t="s">
        <v>14</v>
      </c>
      <c r="B146" s="163">
        <f>B8</f>
        <v>55000</v>
      </c>
      <c r="C146" s="164">
        <f>C8</f>
        <v>56374.99999999999</v>
      </c>
      <c r="D146" s="165"/>
    </row>
    <row r="147" spans="1:4" ht="12.75">
      <c r="A147" s="78" t="s">
        <v>125</v>
      </c>
      <c r="B147" s="163">
        <f>(B7*0.5)</f>
        <v>70000</v>
      </c>
      <c r="C147" s="164">
        <f>(C7*0.5)</f>
        <v>72450</v>
      </c>
      <c r="D147" s="165"/>
    </row>
    <row r="148" spans="1:4" ht="12.75">
      <c r="A148" s="78" t="s">
        <v>126</v>
      </c>
      <c r="B148" s="163">
        <f>(B7*0.5)</f>
        <v>70000</v>
      </c>
      <c r="C148" s="164">
        <f>(C7*0.5)</f>
        <v>72450</v>
      </c>
      <c r="D148" s="165"/>
    </row>
    <row r="149" spans="1:4" ht="12.75">
      <c r="A149" s="78" t="s">
        <v>127</v>
      </c>
      <c r="B149" s="163">
        <f>B5</f>
        <v>375816</v>
      </c>
      <c r="C149" s="164">
        <f>C5</f>
        <v>388969.56</v>
      </c>
      <c r="D149" s="165"/>
    </row>
    <row r="150" spans="1:4" ht="12.75">
      <c r="A150" s="78" t="s">
        <v>128</v>
      </c>
      <c r="B150" s="163">
        <f>B6</f>
        <v>13520</v>
      </c>
      <c r="C150" s="164">
        <f>C6</f>
        <v>13993.199999999999</v>
      </c>
      <c r="D150" s="165"/>
    </row>
    <row r="151" spans="1:4" ht="12.75">
      <c r="A151" s="78" t="s">
        <v>129</v>
      </c>
      <c r="B151" s="163">
        <f>B9+B103</f>
        <v>72261.9384795897</v>
      </c>
      <c r="C151" s="164">
        <f>C9+C103</f>
        <v>74179.0589879805</v>
      </c>
      <c r="D151" s="165"/>
    </row>
    <row r="152" spans="1:4" ht="12.75">
      <c r="A152" s="78" t="s">
        <v>130</v>
      </c>
      <c r="B152" s="166">
        <f>B16+B20+B22</f>
        <v>51996.13846153846</v>
      </c>
      <c r="C152" s="167">
        <f>C16+C20+C22</f>
        <v>52752.17030769231</v>
      </c>
      <c r="D152" s="168"/>
    </row>
    <row r="153" spans="1:4" ht="12.75">
      <c r="A153" s="155" t="s">
        <v>131</v>
      </c>
      <c r="B153" s="163">
        <f>SUM(B146:B152)</f>
        <v>708594.0769411282</v>
      </c>
      <c r="C153" s="164">
        <f>SUM(C146:C152)</f>
        <v>731168.9892956727</v>
      </c>
      <c r="D153" s="165"/>
    </row>
    <row r="154" spans="1:4" ht="5.25" customHeight="1">
      <c r="A154" s="78"/>
      <c r="B154" s="163"/>
      <c r="C154" s="164"/>
      <c r="D154" s="165"/>
    </row>
    <row r="155" spans="1:4" ht="12.75">
      <c r="A155" s="162" t="s">
        <v>132</v>
      </c>
      <c r="B155" s="163"/>
      <c r="C155" s="164"/>
      <c r="D155" s="165"/>
    </row>
    <row r="156" spans="1:4" ht="12.75">
      <c r="A156" s="78" t="s">
        <v>133</v>
      </c>
      <c r="B156" s="163">
        <f>B62+B63</f>
        <v>98912.16</v>
      </c>
      <c r="C156" s="164">
        <f>C62+C63</f>
        <v>98948.16</v>
      </c>
      <c r="D156" s="165"/>
    </row>
    <row r="157" spans="1:4" ht="12.75">
      <c r="A157" s="169" t="s">
        <v>134</v>
      </c>
      <c r="B157" s="163">
        <f>B69+B70+B71+B73+B74</f>
        <v>0</v>
      </c>
      <c r="C157" s="164">
        <f>C69+C70+C71+C73+C74</f>
        <v>257.5</v>
      </c>
      <c r="D157" s="165"/>
    </row>
    <row r="158" spans="1:4" ht="12.75">
      <c r="A158" s="78" t="s">
        <v>135</v>
      </c>
      <c r="B158" s="163">
        <f>B61</f>
        <v>18039.168</v>
      </c>
      <c r="C158" s="164">
        <f>C61</f>
        <v>18039.168</v>
      </c>
      <c r="D158" s="165"/>
    </row>
    <row r="159" spans="1:4" ht="12.75">
      <c r="A159" s="78" t="s">
        <v>136</v>
      </c>
      <c r="B159" s="163">
        <f>B65+B66</f>
        <v>23498.13333333333</v>
      </c>
      <c r="C159" s="164">
        <f>C65+C66</f>
        <v>24203.077333333335</v>
      </c>
      <c r="D159" s="165"/>
    </row>
    <row r="160" spans="1:4" ht="12.75">
      <c r="A160" s="78" t="s">
        <v>137</v>
      </c>
      <c r="B160" s="163">
        <f>B34+B37+B38+B39+B41+B42+B75+B95</f>
        <v>5900</v>
      </c>
      <c r="C160" s="164">
        <f>C34+C37+C38+C39+C41+C42+C75+C95</f>
        <v>4972</v>
      </c>
      <c r="D160" s="165"/>
    </row>
    <row r="161" spans="1:4" ht="12.75">
      <c r="A161" s="169" t="s">
        <v>138</v>
      </c>
      <c r="B161" s="166">
        <f>B98+B99+B21</f>
        <v>8724.300000000001</v>
      </c>
      <c r="C161" s="167">
        <f>C98+C99+C21</f>
        <v>8986.029</v>
      </c>
      <c r="D161" s="168"/>
    </row>
    <row r="162" spans="1:4" ht="12.75">
      <c r="A162" s="155" t="s">
        <v>139</v>
      </c>
      <c r="B162" s="163">
        <f>SUM(B156:B161)</f>
        <v>155073.76133333333</v>
      </c>
      <c r="C162" s="164">
        <f>SUM(C156:C161)</f>
        <v>155405.93433333337</v>
      </c>
      <c r="D162" s="165"/>
    </row>
    <row r="163" spans="1:4" ht="6.75" customHeight="1">
      <c r="A163" s="78"/>
      <c r="B163" s="163"/>
      <c r="C163" s="164"/>
      <c r="D163" s="165"/>
    </row>
    <row r="164" spans="1:4" ht="12.75">
      <c r="A164" s="162" t="s">
        <v>140</v>
      </c>
      <c r="B164" s="163"/>
      <c r="C164" s="164"/>
      <c r="D164" s="165"/>
    </row>
    <row r="165" spans="1:4" ht="12.75">
      <c r="A165" s="78" t="s">
        <v>141</v>
      </c>
      <c r="B165" s="163">
        <f>B32+B33</f>
        <v>2633.3333333333335</v>
      </c>
      <c r="C165" s="164">
        <f>C32+C33</f>
        <v>2687.3333333333335</v>
      </c>
      <c r="D165" s="165"/>
    </row>
    <row r="166" spans="1:4" ht="12.75">
      <c r="A166" s="78" t="s">
        <v>142</v>
      </c>
      <c r="B166" s="163">
        <f>B64+B67</f>
        <v>15872.64</v>
      </c>
      <c r="C166" s="164">
        <f>C64+C67</f>
        <v>15897.84</v>
      </c>
      <c r="D166" s="165"/>
    </row>
    <row r="167" spans="1:4" ht="12.75">
      <c r="A167" s="78" t="s">
        <v>143</v>
      </c>
      <c r="B167" s="170" t="s">
        <v>144</v>
      </c>
      <c r="C167" s="171" t="s">
        <v>144</v>
      </c>
      <c r="D167" s="172"/>
    </row>
    <row r="168" spans="1:4" ht="12.75">
      <c r="A168" s="169" t="s">
        <v>145</v>
      </c>
      <c r="B168" s="166">
        <f>B87+B91+B92+B96</f>
        <v>250</v>
      </c>
      <c r="C168" s="167">
        <f>C87+C91+C92+C96</f>
        <v>250</v>
      </c>
      <c r="D168" s="168"/>
    </row>
    <row r="169" spans="1:4" ht="12.75">
      <c r="A169" s="155" t="s">
        <v>146</v>
      </c>
      <c r="B169" s="163">
        <f>SUM(B165:B168)</f>
        <v>18755.97333333333</v>
      </c>
      <c r="C169" s="164">
        <f>SUM(C165:C168)</f>
        <v>18835.173333333332</v>
      </c>
      <c r="D169" s="165"/>
    </row>
    <row r="170" spans="1:4" ht="6.75" customHeight="1">
      <c r="A170" s="78"/>
      <c r="B170" s="163"/>
      <c r="C170" s="164"/>
      <c r="D170" s="165"/>
    </row>
    <row r="171" spans="1:4" ht="12.75">
      <c r="A171" s="162" t="s">
        <v>147</v>
      </c>
      <c r="B171" s="163"/>
      <c r="C171" s="164"/>
      <c r="D171" s="165"/>
    </row>
    <row r="172" spans="1:4" ht="12.75">
      <c r="A172" s="78" t="s">
        <v>148</v>
      </c>
      <c r="B172" s="163">
        <f>B47+B50+B51</f>
        <v>56636</v>
      </c>
      <c r="C172" s="164">
        <f>C47+C50+C51</f>
        <v>58610.759999999995</v>
      </c>
      <c r="D172" s="165"/>
    </row>
    <row r="173" spans="1:4" ht="12.75">
      <c r="A173" s="78" t="s">
        <v>149</v>
      </c>
      <c r="B173" s="163">
        <f>B26</f>
        <v>39012</v>
      </c>
      <c r="C173" s="164">
        <f>C26</f>
        <v>40182.36</v>
      </c>
      <c r="D173" s="165"/>
    </row>
    <row r="174" spans="1:4" ht="12.75">
      <c r="A174" s="169" t="s">
        <v>150</v>
      </c>
      <c r="B174" s="163">
        <f>B89+B90</f>
        <v>0</v>
      </c>
      <c r="C174" s="164">
        <f>C89+C90</f>
        <v>0</v>
      </c>
      <c r="D174" s="165"/>
    </row>
    <row r="175" spans="1:4" ht="12.75">
      <c r="A175" s="78" t="s">
        <v>151</v>
      </c>
      <c r="B175" s="163">
        <f>B13+B14+B15+B88</f>
        <v>89487.45679999999</v>
      </c>
      <c r="C175" s="164">
        <f>C13+C14+C15+C88</f>
        <v>92555.607788</v>
      </c>
      <c r="D175" s="165"/>
    </row>
    <row r="176" spans="1:4" ht="12.75">
      <c r="A176" s="78" t="s">
        <v>79</v>
      </c>
      <c r="B176" s="163">
        <f>B59+B97</f>
        <v>7215</v>
      </c>
      <c r="C176" s="164">
        <f>C59+C97</f>
        <v>7215</v>
      </c>
      <c r="D176" s="165"/>
    </row>
    <row r="177" spans="1:4" ht="12.75">
      <c r="A177" s="78" t="s">
        <v>152</v>
      </c>
      <c r="B177" s="163">
        <f>B53+B54+B55</f>
        <v>13833.333333333334</v>
      </c>
      <c r="C177" s="164">
        <f>C53+C54+C55</f>
        <v>13848.333333333334</v>
      </c>
      <c r="D177" s="165"/>
    </row>
    <row r="178" spans="1:4" ht="12.75">
      <c r="A178" s="78" t="s">
        <v>32</v>
      </c>
      <c r="B178" s="163">
        <f>B28+B29+B30</f>
        <v>0</v>
      </c>
      <c r="C178" s="164">
        <f>C28+C29+C30</f>
        <v>0</v>
      </c>
      <c r="D178" s="165"/>
    </row>
    <row r="179" spans="1:4" ht="12.75">
      <c r="A179" s="78" t="s">
        <v>59</v>
      </c>
      <c r="B179" s="163">
        <f>B44+B45</f>
        <v>3000</v>
      </c>
      <c r="C179" s="164">
        <f>C44+C45</f>
        <v>3090</v>
      </c>
      <c r="D179" s="165"/>
    </row>
    <row r="180" spans="1:4" ht="12.75">
      <c r="A180" s="78" t="s">
        <v>153</v>
      </c>
      <c r="B180" s="166">
        <f>B76</f>
        <v>12967.743589743588</v>
      </c>
      <c r="C180" s="167">
        <f>C76</f>
        <v>12967.743589743588</v>
      </c>
      <c r="D180" s="168"/>
    </row>
    <row r="181" spans="1:4" ht="12.75">
      <c r="A181" s="155" t="s">
        <v>154</v>
      </c>
      <c r="B181" s="163">
        <f>SUM(B172:B180)</f>
        <v>222151.53372307692</v>
      </c>
      <c r="C181" s="164">
        <f>SUM(C172:C180)</f>
        <v>228469.80471107693</v>
      </c>
      <c r="D181" s="165"/>
    </row>
    <row r="182" spans="1:4" ht="8.25" customHeight="1" outlineLevel="14" collapsed="1">
      <c r="A182" s="78"/>
      <c r="B182" s="163"/>
      <c r="C182" s="164"/>
      <c r="D182" s="165"/>
    </row>
    <row r="183" spans="1:4" ht="7.5" customHeight="1" outlineLevel="14">
      <c r="A183" s="78"/>
      <c r="B183" s="163"/>
      <c r="C183" s="164"/>
      <c r="D183" s="165"/>
    </row>
    <row r="184" spans="1:4" ht="12.75">
      <c r="A184" s="78" t="s">
        <v>155</v>
      </c>
      <c r="B184" s="163">
        <f>B153+B162+B169+B181</f>
        <v>1104575.3453308719</v>
      </c>
      <c r="C184" s="164">
        <f>C153+C162+C169+C181</f>
        <v>1133879.9016734164</v>
      </c>
      <c r="D184" s="165"/>
    </row>
    <row r="185" spans="1:4" ht="12.75">
      <c r="A185" s="78" t="s">
        <v>156</v>
      </c>
      <c r="B185" s="163">
        <f>B104</f>
        <v>103231.34068512815</v>
      </c>
      <c r="C185" s="164">
        <f>C104</f>
        <v>105970.08426854358</v>
      </c>
      <c r="D185" s="165"/>
    </row>
    <row r="186" spans="1:5" ht="12.75">
      <c r="A186" s="78" t="s">
        <v>157</v>
      </c>
      <c r="B186" s="163">
        <f>B184+B185</f>
        <v>1207806.686016</v>
      </c>
      <c r="C186" s="164">
        <f>C184+C185</f>
        <v>1239849.98594196</v>
      </c>
      <c r="D186" s="165"/>
      <c r="E186" s="125"/>
    </row>
    <row r="187" spans="1:4" ht="12.75">
      <c r="A187" s="78"/>
      <c r="B187" s="163"/>
      <c r="C187" s="164"/>
      <c r="D187" s="165"/>
    </row>
    <row r="188" spans="1:4" ht="12.75">
      <c r="A188" s="173" t="s">
        <v>158</v>
      </c>
      <c r="B188" s="174">
        <f>B186/B143</f>
        <v>26.99612619615557</v>
      </c>
      <c r="C188" s="175">
        <f>C186/C143</f>
        <v>27.712337638398747</v>
      </c>
      <c r="D188" s="176"/>
    </row>
  </sheetData>
  <sheetProtection/>
  <printOptions headings="1" horizontalCentered="1"/>
  <pageMargins left="0.41" right="0.04" top="0.42" bottom="0.28" header="0" footer="0"/>
  <pageSetup horizontalDpi="1200" verticalDpi="1200" orientation="portrait" scale="90" r:id="rId1"/>
  <rowBreaks count="1" manualBreakCount="1">
    <brk id="134" max="255" man="1"/>
  </rowBreaks>
  <ignoredErrors>
    <ignoredError sqref="C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35"/>
  <sheetViews>
    <sheetView zoomScalePageLayoutView="0" workbookViewId="0" topLeftCell="A1">
      <selection activeCell="J4" sqref="J4"/>
    </sheetView>
  </sheetViews>
  <sheetFormatPr defaultColWidth="9.00390625" defaultRowHeight="12.75"/>
  <cols>
    <col min="4" max="4" width="11.625" style="0" customWidth="1"/>
    <col min="5" max="5" width="10.375" style="0" bestFit="1" customWidth="1"/>
    <col min="8" max="8" width="11.875" style="0" customWidth="1"/>
    <col min="10" max="10" width="14.625" style="0" customWidth="1"/>
  </cols>
  <sheetData>
    <row r="1" spans="1:18" ht="25.5">
      <c r="A1" s="1"/>
      <c r="B1" s="2" t="s">
        <v>159</v>
      </c>
      <c r="C1" s="3"/>
      <c r="D1" s="3"/>
      <c r="E1" s="3"/>
      <c r="F1" s="3"/>
      <c r="G1" s="3"/>
      <c r="H1" s="3"/>
      <c r="I1" s="3"/>
      <c r="J1" s="3"/>
      <c r="K1" s="1"/>
      <c r="L1" s="28"/>
      <c r="M1" s="28"/>
      <c r="N1" s="29"/>
      <c r="O1" s="29"/>
      <c r="P1" s="29"/>
      <c r="Q1" s="28"/>
      <c r="R1" s="25"/>
    </row>
    <row r="2" spans="1:18" ht="25.5">
      <c r="A2" s="4"/>
      <c r="B2" s="5"/>
      <c r="C2" s="6"/>
      <c r="D2" s="6"/>
      <c r="E2" s="6"/>
      <c r="F2" s="6"/>
      <c r="G2" s="6"/>
      <c r="H2" s="6"/>
      <c r="I2" s="6"/>
      <c r="J2" s="6"/>
      <c r="K2" s="4"/>
      <c r="L2" s="26"/>
      <c r="M2" s="26"/>
      <c r="N2" s="30"/>
      <c r="O2" s="30"/>
      <c r="P2" s="30"/>
      <c r="Q2" s="26"/>
      <c r="R2" s="25"/>
    </row>
    <row r="3" spans="1:18" ht="12.75">
      <c r="A3" s="4"/>
      <c r="B3" s="180" t="s">
        <v>160</v>
      </c>
      <c r="C3" s="181"/>
      <c r="D3" s="181"/>
      <c r="E3" s="182"/>
      <c r="F3" s="4"/>
      <c r="G3" s="180" t="s">
        <v>161</v>
      </c>
      <c r="H3" s="181"/>
      <c r="I3" s="181"/>
      <c r="J3" s="182"/>
      <c r="K3" s="26"/>
      <c r="L3" s="26"/>
      <c r="M3" s="26"/>
      <c r="N3" s="30"/>
      <c r="O3" s="30"/>
      <c r="P3" s="30"/>
      <c r="Q3" s="26"/>
      <c r="R3" s="25"/>
    </row>
    <row r="4" spans="1:18" ht="12.75">
      <c r="A4" s="7"/>
      <c r="B4" s="177" t="s">
        <v>162</v>
      </c>
      <c r="C4" s="178"/>
      <c r="D4" s="179"/>
      <c r="E4" s="8">
        <v>915000</v>
      </c>
      <c r="F4" s="4"/>
      <c r="G4" s="177" t="s">
        <v>163</v>
      </c>
      <c r="H4" s="178"/>
      <c r="I4" s="179"/>
      <c r="J4" s="9">
        <f>IF(AND(ISNUMBER(E4),ISNUMBER(E5),ISNUMBER(E6),ISNUMBER(E7)),J5*12,"")</f>
        <v>217417.19999999998</v>
      </c>
      <c r="K4" s="24"/>
      <c r="L4" s="24"/>
      <c r="M4" s="24"/>
      <c r="N4" s="31"/>
      <c r="O4" s="31"/>
      <c r="P4" s="31"/>
      <c r="Q4" s="24"/>
      <c r="R4" s="25"/>
    </row>
    <row r="5" spans="1:18" ht="12.75">
      <c r="A5" s="7"/>
      <c r="B5" s="177" t="s">
        <v>164</v>
      </c>
      <c r="C5" s="178"/>
      <c r="D5" s="179"/>
      <c r="E5" s="10">
        <v>0.07</v>
      </c>
      <c r="F5" s="4"/>
      <c r="G5" s="177" t="s">
        <v>165</v>
      </c>
      <c r="H5" s="178"/>
      <c r="I5" s="179"/>
      <c r="J5" s="9">
        <f>IF(AND(ISNUMBER(E4),ISNUMBER(E5),ISNUMBER(E6),ISNUMBER(E7)),ROUND(PMT(E5/12,Q208,-E4),2),"")</f>
        <v>18118.1</v>
      </c>
      <c r="K5" s="24"/>
      <c r="L5" s="24"/>
      <c r="M5" s="24"/>
      <c r="N5" s="31"/>
      <c r="O5" s="31"/>
      <c r="P5" s="31"/>
      <c r="Q5" s="24"/>
      <c r="R5" s="25"/>
    </row>
    <row r="6" spans="1:18" ht="12.75">
      <c r="A6" s="7"/>
      <c r="B6" s="177" t="s">
        <v>166</v>
      </c>
      <c r="C6" s="178"/>
      <c r="D6" s="179"/>
      <c r="E6" s="11">
        <v>5</v>
      </c>
      <c r="F6" s="4"/>
      <c r="G6" s="177" t="s">
        <v>167</v>
      </c>
      <c r="H6" s="178"/>
      <c r="I6" s="179"/>
      <c r="J6" s="9">
        <f>IF(AND(ISNUMBER(E4),ISNUMBER(E5),ISNUMBER(E6),ISNUMBER(E7)),VLOOKUP("Dec",C12:J23,7,0),"")</f>
        <v>59032.530000000006</v>
      </c>
      <c r="K6" s="24"/>
      <c r="L6" s="24"/>
      <c r="M6" s="24"/>
      <c r="N6" s="31"/>
      <c r="O6" s="31"/>
      <c r="P6" s="31"/>
      <c r="Q6" s="24"/>
      <c r="R6" s="25"/>
    </row>
    <row r="7" spans="1:18" ht="12.75">
      <c r="A7" s="7"/>
      <c r="B7" s="177" t="s">
        <v>168</v>
      </c>
      <c r="C7" s="178"/>
      <c r="D7" s="179"/>
      <c r="E7" s="12">
        <v>2009</v>
      </c>
      <c r="F7" s="4"/>
      <c r="G7" s="177" t="s">
        <v>169</v>
      </c>
      <c r="H7" s="178"/>
      <c r="I7" s="179"/>
      <c r="J7" s="9">
        <f>IF(AND(ISNUMBER(E4),ISNUMBER(E5),ISNUMBER(E6),ISNUMBER(E7)),MAX(I23,H27:H56),"")</f>
        <v>172085.9999999999</v>
      </c>
      <c r="K7" s="24"/>
      <c r="L7" s="24"/>
      <c r="M7" s="24"/>
      <c r="N7" s="31"/>
      <c r="O7" s="31"/>
      <c r="P7" s="31"/>
      <c r="Q7" s="24"/>
      <c r="R7" s="25"/>
    </row>
    <row r="8" spans="1:18" ht="12.75">
      <c r="A8" s="7"/>
      <c r="B8" s="177" t="s">
        <v>170</v>
      </c>
      <c r="C8" s="178"/>
      <c r="D8" s="179"/>
      <c r="E8" s="11"/>
      <c r="F8" s="4"/>
      <c r="G8" s="177" t="s">
        <v>171</v>
      </c>
      <c r="H8" s="178"/>
      <c r="I8" s="179"/>
      <c r="J8" s="9">
        <f>IF(AND(ISNUMBER(E4),ISNUMBER(E5),ISNUMBER(E6),ISNUMBER(E7)),J7+E4,"")</f>
        <v>1087086</v>
      </c>
      <c r="K8" s="7"/>
      <c r="L8" s="24"/>
      <c r="M8" s="24"/>
      <c r="N8" s="31"/>
      <c r="O8" s="31"/>
      <c r="P8" s="31"/>
      <c r="Q8" s="24"/>
      <c r="R8" s="25"/>
    </row>
    <row r="9" spans="1:18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26"/>
      <c r="M9" s="26"/>
      <c r="N9" s="30"/>
      <c r="O9" s="30"/>
      <c r="P9" s="30"/>
      <c r="Q9" s="26"/>
      <c r="R9" s="25"/>
    </row>
    <row r="10" spans="1:18" ht="12.75">
      <c r="A10" s="4"/>
      <c r="B10" s="180" t="s">
        <v>172</v>
      </c>
      <c r="C10" s="181"/>
      <c r="D10" s="181"/>
      <c r="E10" s="181"/>
      <c r="F10" s="181"/>
      <c r="G10" s="181"/>
      <c r="H10" s="181"/>
      <c r="I10" s="181"/>
      <c r="J10" s="182"/>
      <c r="K10" s="4"/>
      <c r="L10" s="26"/>
      <c r="M10" s="26"/>
      <c r="N10" s="30"/>
      <c r="O10" s="30"/>
      <c r="P10" s="30"/>
      <c r="Q10" s="26"/>
      <c r="R10" s="25"/>
    </row>
    <row r="11" spans="1:18" ht="38.25">
      <c r="A11" s="13"/>
      <c r="B11" s="14" t="s">
        <v>173</v>
      </c>
      <c r="C11" s="15" t="s">
        <v>174</v>
      </c>
      <c r="D11" s="15" t="s">
        <v>175</v>
      </c>
      <c r="E11" s="15" t="s">
        <v>176</v>
      </c>
      <c r="F11" s="15" t="s">
        <v>177</v>
      </c>
      <c r="G11" s="15" t="s">
        <v>178</v>
      </c>
      <c r="H11" s="15" t="s">
        <v>179</v>
      </c>
      <c r="I11" s="15" t="s">
        <v>180</v>
      </c>
      <c r="J11" s="16" t="s">
        <v>181</v>
      </c>
      <c r="K11" s="13"/>
      <c r="L11" s="22"/>
      <c r="M11" s="22"/>
      <c r="N11" s="32"/>
      <c r="O11" s="32"/>
      <c r="P11" s="32"/>
      <c r="Q11" s="22"/>
      <c r="R11" s="25"/>
    </row>
    <row r="12" spans="1:18" ht="12.75">
      <c r="A12" s="7"/>
      <c r="B12" s="17">
        <f>IF(SUM(O192)=1,E7,"")</f>
        <v>2009</v>
      </c>
      <c r="C12" s="18" t="str">
        <f>VLOOKUP(O192,M192:N203,2)</f>
        <v>Jan</v>
      </c>
      <c r="D12" s="9">
        <f>IF(ISTEXT(J4),"",E4)</f>
        <v>915000</v>
      </c>
      <c r="E12" s="9">
        <f aca="true" t="shared" si="0" ref="E12:E23">IF(ISTEXT(J$5),"",J$5)</f>
        <v>18118.1</v>
      </c>
      <c r="F12" s="9">
        <f aca="true" t="shared" si="1" ref="F12:F23">IF(ISTEXT(J$4),"",E12-G12)</f>
        <v>12780.599999999999</v>
      </c>
      <c r="G12" s="9">
        <f aca="true" t="shared" si="2" ref="G12:G23">IF(ISTEXT(J$4),"",ROUND(D12*(E$5/12),2))</f>
        <v>5337.5</v>
      </c>
      <c r="H12" s="9">
        <f>IF(ISTEXT($J$4),"",SUM(F$12:F12))</f>
        <v>12780.599999999999</v>
      </c>
      <c r="I12" s="9">
        <f>IF(ISTEXT($J$4),"",SUM(G$12:G12))</f>
        <v>5337.5</v>
      </c>
      <c r="J12" s="9">
        <f aca="true" t="shared" si="3" ref="J12:J23">IF(ISTEXT(J$4),"",D12-F12)</f>
        <v>902219.4</v>
      </c>
      <c r="K12" s="7"/>
      <c r="L12" s="24"/>
      <c r="M12" s="24"/>
      <c r="N12" s="31"/>
      <c r="O12" s="31"/>
      <c r="P12" s="31"/>
      <c r="Q12" s="24"/>
      <c r="R12" s="25"/>
    </row>
    <row r="13" spans="1:18" ht="12.75">
      <c r="A13" s="7"/>
      <c r="B13" s="17">
        <f>IF(O193=1,E7+1,"")</f>
      </c>
      <c r="C13" s="18" t="str">
        <f>VLOOKUP(O193,M192:N203,2)</f>
        <v>Feb</v>
      </c>
      <c r="D13" s="9">
        <f aca="true" t="shared" si="4" ref="D13:D23">IF(ISTEXT(J$4),"",J12)</f>
        <v>902219.4</v>
      </c>
      <c r="E13" s="9">
        <f t="shared" si="0"/>
        <v>18118.1</v>
      </c>
      <c r="F13" s="9">
        <f t="shared" si="1"/>
        <v>12855.149999999998</v>
      </c>
      <c r="G13" s="9">
        <f t="shared" si="2"/>
        <v>5262.95</v>
      </c>
      <c r="H13" s="9">
        <f>IF(ISTEXT($J$4),"",SUM(F$12:F13))</f>
        <v>25635.749999999996</v>
      </c>
      <c r="I13" s="9">
        <f>IF(ISTEXT($J$4),"",SUM(G$12:G13))</f>
        <v>10600.45</v>
      </c>
      <c r="J13" s="9">
        <f t="shared" si="3"/>
        <v>889364.25</v>
      </c>
      <c r="K13" s="7"/>
      <c r="L13" s="24"/>
      <c r="M13" s="24"/>
      <c r="N13" s="31"/>
      <c r="O13" s="31"/>
      <c r="P13" s="31"/>
      <c r="Q13" s="24"/>
      <c r="R13" s="25"/>
    </row>
    <row r="14" spans="1:18" ht="12.75">
      <c r="A14" s="7"/>
      <c r="B14" s="17">
        <f>IF(O194=1,E7+1,"")</f>
      </c>
      <c r="C14" s="18" t="str">
        <f>VLOOKUP(O194,M192:N203,2)</f>
        <v>Mar</v>
      </c>
      <c r="D14" s="9">
        <f t="shared" si="4"/>
        <v>889364.25</v>
      </c>
      <c r="E14" s="9">
        <f t="shared" si="0"/>
        <v>18118.1</v>
      </c>
      <c r="F14" s="9">
        <f t="shared" si="1"/>
        <v>12930.14</v>
      </c>
      <c r="G14" s="9">
        <f t="shared" si="2"/>
        <v>5187.96</v>
      </c>
      <c r="H14" s="9">
        <f>IF(ISTEXT($J$4),"",SUM(F$12:F14))</f>
        <v>38565.89</v>
      </c>
      <c r="I14" s="9">
        <f>IF(ISTEXT($J$4),"",SUM(G$12:G14))</f>
        <v>15788.41</v>
      </c>
      <c r="J14" s="9">
        <f t="shared" si="3"/>
        <v>876434.11</v>
      </c>
      <c r="K14" s="7"/>
      <c r="L14" s="24"/>
      <c r="M14" s="24"/>
      <c r="N14" s="31"/>
      <c r="O14" s="31"/>
      <c r="P14" s="31"/>
      <c r="Q14" s="24"/>
      <c r="R14" s="25"/>
    </row>
    <row r="15" spans="1:18" ht="12.75">
      <c r="A15" s="7"/>
      <c r="B15" s="17">
        <f>IF(O195=1,E7+1,"")</f>
      </c>
      <c r="C15" s="18" t="str">
        <f>VLOOKUP(O195,M192:N203,2)</f>
        <v>Apr</v>
      </c>
      <c r="D15" s="9">
        <f t="shared" si="4"/>
        <v>876434.11</v>
      </c>
      <c r="E15" s="9">
        <f t="shared" si="0"/>
        <v>18118.1</v>
      </c>
      <c r="F15" s="9">
        <f t="shared" si="1"/>
        <v>13005.57</v>
      </c>
      <c r="G15" s="9">
        <f t="shared" si="2"/>
        <v>5112.53</v>
      </c>
      <c r="H15" s="9">
        <f>IF(ISTEXT($J$4),"",SUM(F$12:F15))</f>
        <v>51571.46</v>
      </c>
      <c r="I15" s="9">
        <f>IF(ISTEXT($J$4),"",SUM(G$12:G15))</f>
        <v>20900.94</v>
      </c>
      <c r="J15" s="9">
        <f t="shared" si="3"/>
        <v>863428.54</v>
      </c>
      <c r="K15" s="7"/>
      <c r="L15" s="24"/>
      <c r="M15" s="24"/>
      <c r="N15" s="31"/>
      <c r="O15" s="31"/>
      <c r="P15" s="31"/>
      <c r="Q15" s="24"/>
      <c r="R15" s="25"/>
    </row>
    <row r="16" spans="1:18" ht="12.75">
      <c r="A16" s="7"/>
      <c r="B16" s="17">
        <f>IF(O196=1,E7+1,"")</f>
      </c>
      <c r="C16" s="18" t="str">
        <f>VLOOKUP(O196,M192:N203,2)</f>
        <v>May</v>
      </c>
      <c r="D16" s="9">
        <f t="shared" si="4"/>
        <v>863428.54</v>
      </c>
      <c r="E16" s="9">
        <f t="shared" si="0"/>
        <v>18118.1</v>
      </c>
      <c r="F16" s="9">
        <f t="shared" si="1"/>
        <v>13081.429999999998</v>
      </c>
      <c r="G16" s="9">
        <f t="shared" si="2"/>
        <v>5036.67</v>
      </c>
      <c r="H16" s="9">
        <f>IF(ISTEXT($J$4),"",SUM(F$12:F16))</f>
        <v>64652.89</v>
      </c>
      <c r="I16" s="9">
        <f>IF(ISTEXT($J$4),"",SUM(G$12:G16))</f>
        <v>25937.61</v>
      </c>
      <c r="J16" s="9">
        <f t="shared" si="3"/>
        <v>850347.11</v>
      </c>
      <c r="K16" s="7"/>
      <c r="L16" s="24"/>
      <c r="M16" s="24"/>
      <c r="N16" s="31"/>
      <c r="O16" s="31"/>
      <c r="P16" s="31"/>
      <c r="Q16" s="24"/>
      <c r="R16" s="25"/>
    </row>
    <row r="17" spans="1:18" ht="12.75">
      <c r="A17" s="7"/>
      <c r="B17" s="17">
        <f>IF(O197=1,E7+1,"")</f>
      </c>
      <c r="C17" s="18" t="str">
        <f>VLOOKUP(O197,M192:N203,2)</f>
        <v>Jun</v>
      </c>
      <c r="D17" s="9">
        <f t="shared" si="4"/>
        <v>850347.11</v>
      </c>
      <c r="E17" s="9">
        <f t="shared" si="0"/>
        <v>18118.1</v>
      </c>
      <c r="F17" s="9">
        <f t="shared" si="1"/>
        <v>13157.739999999998</v>
      </c>
      <c r="G17" s="9">
        <f t="shared" si="2"/>
        <v>4960.36</v>
      </c>
      <c r="H17" s="9">
        <f>IF(ISTEXT($J$4),"",SUM(F$12:F17))</f>
        <v>77810.63</v>
      </c>
      <c r="I17" s="9">
        <f>IF(ISTEXT($J$4),"",SUM(G$12:G17))</f>
        <v>30897.97</v>
      </c>
      <c r="J17" s="9">
        <f t="shared" si="3"/>
        <v>837189.37</v>
      </c>
      <c r="K17" s="7"/>
      <c r="L17" s="24"/>
      <c r="M17" s="24"/>
      <c r="N17" s="31"/>
      <c r="O17" s="31"/>
      <c r="P17" s="31"/>
      <c r="Q17" s="24"/>
      <c r="R17" s="25"/>
    </row>
    <row r="18" spans="1:18" ht="12.75">
      <c r="A18" s="7"/>
      <c r="B18" s="17">
        <f>IF(O198=1,E7+1,"")</f>
      </c>
      <c r="C18" s="18" t="str">
        <f>VLOOKUP(O198,M192:N203,2)</f>
        <v>Jul</v>
      </c>
      <c r="D18" s="9">
        <f t="shared" si="4"/>
        <v>837189.37</v>
      </c>
      <c r="E18" s="9">
        <f t="shared" si="0"/>
        <v>18118.1</v>
      </c>
      <c r="F18" s="9">
        <f t="shared" si="1"/>
        <v>13234.499999999998</v>
      </c>
      <c r="G18" s="9">
        <f t="shared" si="2"/>
        <v>4883.6</v>
      </c>
      <c r="H18" s="9">
        <f>IF(ISTEXT($J$4),"",SUM(F$12:F18))</f>
        <v>91045.13</v>
      </c>
      <c r="I18" s="9">
        <f>IF(ISTEXT($J$4),"",SUM(G$12:G18))</f>
        <v>35781.57</v>
      </c>
      <c r="J18" s="9">
        <f t="shared" si="3"/>
        <v>823954.87</v>
      </c>
      <c r="K18" s="7"/>
      <c r="L18" s="24"/>
      <c r="M18" s="24"/>
      <c r="N18" s="31"/>
      <c r="O18" s="31"/>
      <c r="P18" s="31"/>
      <c r="Q18" s="24"/>
      <c r="R18" s="25"/>
    </row>
    <row r="19" spans="1:18" ht="12.75">
      <c r="A19" s="7"/>
      <c r="B19" s="17">
        <f>IF(O199=1,E7+1,"")</f>
      </c>
      <c r="C19" s="18" t="str">
        <f>VLOOKUP(O199,M192:N203,2)</f>
        <v>Aug</v>
      </c>
      <c r="D19" s="9">
        <f t="shared" si="4"/>
        <v>823954.87</v>
      </c>
      <c r="E19" s="9">
        <f t="shared" si="0"/>
        <v>18118.1</v>
      </c>
      <c r="F19" s="9">
        <f t="shared" si="1"/>
        <v>13311.699999999999</v>
      </c>
      <c r="G19" s="9">
        <f t="shared" si="2"/>
        <v>4806.4</v>
      </c>
      <c r="H19" s="9">
        <f>IF(ISTEXT($J$4),"",SUM(F$12:F19))</f>
        <v>104356.83</v>
      </c>
      <c r="I19" s="9">
        <f>IF(ISTEXT($J$4),"",SUM(G$12:G19))</f>
        <v>40587.97</v>
      </c>
      <c r="J19" s="9">
        <f t="shared" si="3"/>
        <v>810643.17</v>
      </c>
      <c r="K19" s="7"/>
      <c r="L19" s="24"/>
      <c r="M19" s="24"/>
      <c r="N19" s="31"/>
      <c r="O19" s="31"/>
      <c r="P19" s="31"/>
      <c r="Q19" s="24"/>
      <c r="R19" s="25"/>
    </row>
    <row r="20" spans="1:18" ht="12.75">
      <c r="A20" s="7"/>
      <c r="B20" s="17">
        <f>IF(O200=1,E7+1,"")</f>
      </c>
      <c r="C20" s="18" t="str">
        <f>VLOOKUP(O200,M192:N203,2)</f>
        <v>Sep</v>
      </c>
      <c r="D20" s="9">
        <f t="shared" si="4"/>
        <v>810643.17</v>
      </c>
      <c r="E20" s="9">
        <f t="shared" si="0"/>
        <v>18118.1</v>
      </c>
      <c r="F20" s="9">
        <f t="shared" si="1"/>
        <v>13389.349999999999</v>
      </c>
      <c r="G20" s="9">
        <f t="shared" si="2"/>
        <v>4728.75</v>
      </c>
      <c r="H20" s="9">
        <f>IF(ISTEXT($J$4),"",SUM(F$12:F20))</f>
        <v>117746.18</v>
      </c>
      <c r="I20" s="9">
        <f>IF(ISTEXT($J$4),"",SUM(G$12:G20))</f>
        <v>45316.72</v>
      </c>
      <c r="J20" s="9">
        <f t="shared" si="3"/>
        <v>797253.8200000001</v>
      </c>
      <c r="K20" s="7"/>
      <c r="L20" s="24"/>
      <c r="M20" s="24"/>
      <c r="N20" s="31"/>
      <c r="O20" s="31"/>
      <c r="P20" s="31"/>
      <c r="Q20" s="24"/>
      <c r="R20" s="25"/>
    </row>
    <row r="21" spans="1:18" ht="12.75">
      <c r="A21" s="7"/>
      <c r="B21" s="17">
        <f>IF(O201=1,E7+1,"")</f>
      </c>
      <c r="C21" s="17" t="str">
        <f>VLOOKUP(O201,M192:N203,2)</f>
        <v>Oct</v>
      </c>
      <c r="D21" s="9">
        <f t="shared" si="4"/>
        <v>797253.8200000001</v>
      </c>
      <c r="E21" s="9">
        <f t="shared" si="0"/>
        <v>18118.1</v>
      </c>
      <c r="F21" s="9">
        <f t="shared" si="1"/>
        <v>13467.449999999999</v>
      </c>
      <c r="G21" s="9">
        <f t="shared" si="2"/>
        <v>4650.65</v>
      </c>
      <c r="H21" s="9">
        <f>IF(ISTEXT($J$4),"",SUM(F$12:F21))</f>
        <v>131213.63</v>
      </c>
      <c r="I21" s="9">
        <f>IF(ISTEXT($J$4),"",SUM(G$12:G21))</f>
        <v>49967.37</v>
      </c>
      <c r="J21" s="9">
        <f t="shared" si="3"/>
        <v>783786.3700000001</v>
      </c>
      <c r="K21" s="7"/>
      <c r="L21" s="24"/>
      <c r="M21" s="24"/>
      <c r="N21" s="31"/>
      <c r="O21" s="31"/>
      <c r="P21" s="31"/>
      <c r="Q21" s="24"/>
      <c r="R21" s="25"/>
    </row>
    <row r="22" spans="1:18" ht="12.75">
      <c r="A22" s="7"/>
      <c r="B22" s="17">
        <f>IF(O202=1,E7+1,"")</f>
      </c>
      <c r="C22" s="18" t="str">
        <f>VLOOKUP(O202,M192:N203,2)</f>
        <v>Nov</v>
      </c>
      <c r="D22" s="9">
        <f t="shared" si="4"/>
        <v>783786.3700000001</v>
      </c>
      <c r="E22" s="9">
        <f t="shared" si="0"/>
        <v>18118.1</v>
      </c>
      <c r="F22" s="9">
        <f t="shared" si="1"/>
        <v>13546.009999999998</v>
      </c>
      <c r="G22" s="9">
        <f t="shared" si="2"/>
        <v>4572.09</v>
      </c>
      <c r="H22" s="9">
        <f>IF(ISTEXT($J$4),"",SUM(F$12:F22))</f>
        <v>144759.64</v>
      </c>
      <c r="I22" s="9">
        <f>IF(ISTEXT($J$4),"",SUM(G$12:G22))</f>
        <v>54539.46000000001</v>
      </c>
      <c r="J22" s="9">
        <f t="shared" si="3"/>
        <v>770240.3600000001</v>
      </c>
      <c r="K22" s="7"/>
      <c r="L22" s="24"/>
      <c r="M22" s="24"/>
      <c r="N22" s="31"/>
      <c r="O22" s="31"/>
      <c r="P22" s="31"/>
      <c r="Q22" s="24"/>
      <c r="R22" s="25"/>
    </row>
    <row r="23" spans="1:18" ht="12.75">
      <c r="A23" s="7"/>
      <c r="B23" s="17">
        <f>IF(O203=1,E7+1,"")</f>
      </c>
      <c r="C23" s="18" t="str">
        <f>VLOOKUP(O203,M192:N203,2)</f>
        <v>Dec</v>
      </c>
      <c r="D23" s="9">
        <f t="shared" si="4"/>
        <v>770240.3600000001</v>
      </c>
      <c r="E23" s="9">
        <f t="shared" si="0"/>
        <v>18118.1</v>
      </c>
      <c r="F23" s="9">
        <f t="shared" si="1"/>
        <v>13625.029999999999</v>
      </c>
      <c r="G23" s="9">
        <f t="shared" si="2"/>
        <v>4493.07</v>
      </c>
      <c r="H23" s="9">
        <f>IF(ISTEXT($J$4),"",SUM(F$12:F23))</f>
        <v>158384.67</v>
      </c>
      <c r="I23" s="9">
        <f>IF(ISTEXT($J$4),"",SUM(G$12:G23))</f>
        <v>59032.530000000006</v>
      </c>
      <c r="J23" s="9">
        <f t="shared" si="3"/>
        <v>756615.3300000001</v>
      </c>
      <c r="K23" s="7"/>
      <c r="L23" s="24"/>
      <c r="M23" s="24"/>
      <c r="N23" s="31"/>
      <c r="O23" s="31"/>
      <c r="P23" s="31"/>
      <c r="Q23" s="24"/>
      <c r="R23" s="25"/>
    </row>
    <row r="24" spans="1:18" ht="12.75">
      <c r="A24" s="4"/>
      <c r="B24" s="4"/>
      <c r="C24" s="4"/>
      <c r="D24" s="19"/>
      <c r="E24" s="4"/>
      <c r="F24" s="4"/>
      <c r="G24" s="4"/>
      <c r="H24" s="4"/>
      <c r="I24" s="4"/>
      <c r="J24" s="4"/>
      <c r="K24" s="4"/>
      <c r="L24" s="26"/>
      <c r="M24" s="26"/>
      <c r="N24" s="30"/>
      <c r="O24" s="30"/>
      <c r="P24" s="30"/>
      <c r="Q24" s="26"/>
      <c r="R24" s="25"/>
    </row>
    <row r="25" spans="1:18" ht="12.75">
      <c r="A25" s="4"/>
      <c r="B25" s="180" t="s">
        <v>182</v>
      </c>
      <c r="C25" s="181"/>
      <c r="D25" s="181"/>
      <c r="E25" s="181"/>
      <c r="F25" s="181"/>
      <c r="G25" s="181"/>
      <c r="H25" s="181"/>
      <c r="I25" s="182"/>
      <c r="J25" s="4"/>
      <c r="K25" s="4"/>
      <c r="L25" s="26"/>
      <c r="M25" s="26"/>
      <c r="N25" s="30"/>
      <c r="O25" s="30"/>
      <c r="P25" s="30"/>
      <c r="Q25" s="26"/>
      <c r="R25" s="25"/>
    </row>
    <row r="26" spans="1:18" ht="38.25">
      <c r="A26" s="13"/>
      <c r="B26" s="14" t="s">
        <v>173</v>
      </c>
      <c r="C26" s="15" t="s">
        <v>175</v>
      </c>
      <c r="D26" s="15" t="s">
        <v>183</v>
      </c>
      <c r="E26" s="15" t="s">
        <v>184</v>
      </c>
      <c r="F26" s="15" t="s">
        <v>185</v>
      </c>
      <c r="G26" s="20" t="s">
        <v>179</v>
      </c>
      <c r="H26" s="15" t="s">
        <v>180</v>
      </c>
      <c r="I26" s="21" t="s">
        <v>181</v>
      </c>
      <c r="J26" s="22"/>
      <c r="K26" s="13"/>
      <c r="L26" s="22"/>
      <c r="M26" s="22"/>
      <c r="N26" s="32"/>
      <c r="O26" s="32"/>
      <c r="P26" s="32"/>
      <c r="Q26" s="22"/>
      <c r="R26" s="25"/>
    </row>
    <row r="27" spans="1:18" ht="12.75">
      <c r="A27" s="7"/>
      <c r="B27" s="17">
        <f>IF(NOT(ISNUMBER(E7)),"",IF(C12="Jan",1+E7,MAX(B12:B23)))</f>
        <v>2010</v>
      </c>
      <c r="C27" s="23">
        <f>IF(ISTEXT(B27),"",INDEX(J12:J23,13-O192,1))</f>
        <v>756615.3300000001</v>
      </c>
      <c r="D27" s="23">
        <f>IF(ISTEXT(B27),"",J$5*12)</f>
        <v>217417.19999999998</v>
      </c>
      <c r="E27" s="23">
        <f>IF(ISTEXT(B27),"",C27-I27)</f>
        <v>169834.12841886492</v>
      </c>
      <c r="F27" s="23">
        <f>IF(ISTEXT(B27),"",D27-E27)</f>
        <v>47583.07158113507</v>
      </c>
      <c r="G27" s="23">
        <f>IF(ISTEXT(B27),"",E4-I27)</f>
        <v>328218.79841886484</v>
      </c>
      <c r="H27" s="23">
        <f>IF(ISTEXT(B27),"",IF(Q212&lt;12,(24-Q212)*J5-G27,24*J5-G27))</f>
        <v>106615.60158113512</v>
      </c>
      <c r="I27" s="23">
        <f aca="true" t="shared" si="5" ref="I27:I56">IF(ISTEXT(B27),"",IF(B27=Q$211,0,IF(ISTEXT(B27),"",PV(E$5/12,N205,-J$5))))</f>
        <v>586781.2015811352</v>
      </c>
      <c r="J27" s="24"/>
      <c r="K27" s="7"/>
      <c r="L27" s="24"/>
      <c r="M27" s="24"/>
      <c r="N27" s="31"/>
      <c r="O27" s="31"/>
      <c r="P27" s="31"/>
      <c r="Q27" s="24"/>
      <c r="R27" s="25"/>
    </row>
    <row r="28" spans="1:18" ht="12.75">
      <c r="A28" s="7"/>
      <c r="B28" s="17">
        <f>IF(ISTEXT(B27),"",IF(MAX(B$27:B27)=Q$211,"",B27+1))</f>
        <v>2011</v>
      </c>
      <c r="C28" s="23">
        <f>IF(ISTEXT(B28),"",I27)</f>
        <v>586781.2015811352</v>
      </c>
      <c r="D28" s="23">
        <f aca="true" t="shared" si="6" ref="D28:D56">IF(ISTEXT(B28),"",J$5*MIN(12,N205))</f>
        <v>217417.19999999998</v>
      </c>
      <c r="E28" s="23">
        <f>IF(ISTEXT(B28),"",C28-I28)</f>
        <v>182111.63902901497</v>
      </c>
      <c r="F28" s="23">
        <f>IF(ISTEXT(B28),"",D28-E28)</f>
        <v>35305.56097098501</v>
      </c>
      <c r="G28" s="23">
        <f aca="true" t="shared" si="7" ref="G28:H43">IF(ISTEXT(B28),"",G27+E28)</f>
        <v>510330.4374478798</v>
      </c>
      <c r="H28" s="23">
        <f t="shared" si="7"/>
        <v>141921.16255212013</v>
      </c>
      <c r="I28" s="23">
        <f t="shared" si="5"/>
        <v>404669.5625521202</v>
      </c>
      <c r="J28" s="24"/>
      <c r="K28" s="7"/>
      <c r="L28" s="24"/>
      <c r="M28" s="24"/>
      <c r="N28" s="31"/>
      <c r="O28" s="31"/>
      <c r="P28" s="31"/>
      <c r="Q28" s="24"/>
      <c r="R28" s="25"/>
    </row>
    <row r="29" spans="1:18" ht="12.75">
      <c r="A29" s="7"/>
      <c r="B29" s="17">
        <f>IF(ISTEXT(B28),"",IF(MAX(B$27:B28)=Q$211,"",B28+1))</f>
        <v>2012</v>
      </c>
      <c r="C29" s="23">
        <f aca="true" t="shared" si="8" ref="C29:C56">IF(ISTEXT(B29),"",I28)</f>
        <v>404669.5625521202</v>
      </c>
      <c r="D29" s="23">
        <f t="shared" si="6"/>
        <v>217417.19999999998</v>
      </c>
      <c r="E29" s="23">
        <f aca="true" t="shared" si="9" ref="E29:E56">IF(ISTEXT(B29),"",C29-I29)</f>
        <v>195276.50413928422</v>
      </c>
      <c r="F29" s="23">
        <f aca="true" t="shared" si="10" ref="F29:F56">IF(ISTEXT(B29),"",D29-E29)</f>
        <v>22140.695860715758</v>
      </c>
      <c r="G29" s="23">
        <f t="shared" si="7"/>
        <v>705606.9415871641</v>
      </c>
      <c r="H29" s="23">
        <f t="shared" si="7"/>
        <v>164061.8584128359</v>
      </c>
      <c r="I29" s="23">
        <f t="shared" si="5"/>
        <v>209393.05841283596</v>
      </c>
      <c r="J29" s="24"/>
      <c r="K29" s="7"/>
      <c r="L29" s="24"/>
      <c r="M29" s="24"/>
      <c r="N29" s="31"/>
      <c r="O29" s="31"/>
      <c r="P29" s="31"/>
      <c r="Q29" s="24"/>
      <c r="R29" s="25"/>
    </row>
    <row r="30" spans="1:18" ht="12.75">
      <c r="A30" s="7"/>
      <c r="B30" s="17">
        <f>IF(ISTEXT(B29),"",IF(MAX(B$27:B29)=Q$211,"",B29+1))</f>
        <v>2013</v>
      </c>
      <c r="C30" s="23">
        <f t="shared" si="8"/>
        <v>209393.05841283596</v>
      </c>
      <c r="D30" s="23">
        <f t="shared" si="6"/>
        <v>217417.19999999998</v>
      </c>
      <c r="E30" s="23">
        <f t="shared" si="9"/>
        <v>209393.05841283596</v>
      </c>
      <c r="F30" s="23">
        <f t="shared" si="10"/>
        <v>8024.14158716402</v>
      </c>
      <c r="G30" s="23">
        <f t="shared" si="7"/>
        <v>915000</v>
      </c>
      <c r="H30" s="23">
        <f t="shared" si="7"/>
        <v>172085.9999999999</v>
      </c>
      <c r="I30" s="23">
        <f t="shared" si="5"/>
        <v>0</v>
      </c>
      <c r="J30" s="24"/>
      <c r="K30" s="7"/>
      <c r="L30" s="24"/>
      <c r="M30" s="24"/>
      <c r="N30" s="31"/>
      <c r="O30" s="31"/>
      <c r="P30" s="31"/>
      <c r="Q30" s="24"/>
      <c r="R30" s="25"/>
    </row>
    <row r="31" spans="1:18" ht="12.75">
      <c r="A31" s="7"/>
      <c r="B31" s="17">
        <f>IF(ISTEXT(B30),"",IF(MAX(B$27:B30)=Q$211,"",B30+1))</f>
      </c>
      <c r="C31" s="23">
        <f t="shared" si="8"/>
      </c>
      <c r="D31" s="23">
        <f t="shared" si="6"/>
      </c>
      <c r="E31" s="23">
        <f t="shared" si="9"/>
      </c>
      <c r="F31" s="23">
        <f t="shared" si="10"/>
      </c>
      <c r="G31" s="23">
        <f t="shared" si="7"/>
      </c>
      <c r="H31" s="23">
        <f t="shared" si="7"/>
      </c>
      <c r="I31" s="23">
        <f t="shared" si="5"/>
      </c>
      <c r="J31" s="24"/>
      <c r="K31" s="7"/>
      <c r="L31" s="24"/>
      <c r="M31" s="24"/>
      <c r="N31" s="31"/>
      <c r="O31" s="31"/>
      <c r="P31" s="31"/>
      <c r="Q31" s="24"/>
      <c r="R31" s="25"/>
    </row>
    <row r="32" spans="1:18" ht="12.75">
      <c r="A32" s="7"/>
      <c r="B32" s="17">
        <f>IF(ISTEXT(B31),"",IF(MAX(B$27:B31)=Q$211,"",B31+1))</f>
      </c>
      <c r="C32" s="23">
        <f t="shared" si="8"/>
      </c>
      <c r="D32" s="23">
        <f t="shared" si="6"/>
      </c>
      <c r="E32" s="23">
        <f t="shared" si="9"/>
      </c>
      <c r="F32" s="23">
        <f t="shared" si="10"/>
      </c>
      <c r="G32" s="23">
        <f t="shared" si="7"/>
      </c>
      <c r="H32" s="23">
        <f t="shared" si="7"/>
      </c>
      <c r="I32" s="23">
        <f t="shared" si="5"/>
      </c>
      <c r="J32" s="24"/>
      <c r="K32" s="7"/>
      <c r="L32" s="24"/>
      <c r="M32" s="24"/>
      <c r="N32" s="31"/>
      <c r="O32" s="31"/>
      <c r="P32" s="31"/>
      <c r="Q32" s="24"/>
      <c r="R32" s="25"/>
    </row>
    <row r="33" spans="1:18" ht="12.75">
      <c r="A33" s="7"/>
      <c r="B33" s="17">
        <f>IF(ISTEXT(B32),"",IF(MAX(B$27:B32)=Q$211,"",B32+1))</f>
      </c>
      <c r="C33" s="23">
        <f t="shared" si="8"/>
      </c>
      <c r="D33" s="23">
        <f t="shared" si="6"/>
      </c>
      <c r="E33" s="23">
        <f t="shared" si="9"/>
      </c>
      <c r="F33" s="23">
        <f t="shared" si="10"/>
      </c>
      <c r="G33" s="23">
        <f t="shared" si="7"/>
      </c>
      <c r="H33" s="23">
        <f t="shared" si="7"/>
      </c>
      <c r="I33" s="23">
        <f t="shared" si="5"/>
      </c>
      <c r="J33" s="24"/>
      <c r="K33" s="7"/>
      <c r="L33" s="24"/>
      <c r="M33" s="24"/>
      <c r="N33" s="31"/>
      <c r="O33" s="31"/>
      <c r="P33" s="31"/>
      <c r="Q33" s="24"/>
      <c r="R33" s="25"/>
    </row>
    <row r="34" spans="1:18" ht="12.75">
      <c r="A34" s="7"/>
      <c r="B34" s="17">
        <f>IF(ISTEXT(B33),"",IF(MAX(B$27:B33)=Q$211,"",B33+1))</f>
      </c>
      <c r="C34" s="23">
        <f t="shared" si="8"/>
      </c>
      <c r="D34" s="23">
        <f t="shared" si="6"/>
      </c>
      <c r="E34" s="23">
        <f t="shared" si="9"/>
      </c>
      <c r="F34" s="23">
        <f t="shared" si="10"/>
      </c>
      <c r="G34" s="23">
        <f t="shared" si="7"/>
      </c>
      <c r="H34" s="23">
        <f t="shared" si="7"/>
      </c>
      <c r="I34" s="23">
        <f t="shared" si="5"/>
      </c>
      <c r="J34" s="24"/>
      <c r="K34" s="7"/>
      <c r="L34" s="24"/>
      <c r="M34" s="24"/>
      <c r="N34" s="31"/>
      <c r="O34" s="31"/>
      <c r="P34" s="31"/>
      <c r="Q34" s="24"/>
      <c r="R34" s="25"/>
    </row>
    <row r="35" spans="1:18" ht="12.75">
      <c r="A35" s="7"/>
      <c r="B35" s="17">
        <f>IF(ISTEXT(B34),"",IF(MAX(B$27:B34)=Q$211,"",B34+1))</f>
      </c>
      <c r="C35" s="23">
        <f t="shared" si="8"/>
      </c>
      <c r="D35" s="23">
        <f t="shared" si="6"/>
      </c>
      <c r="E35" s="23">
        <f t="shared" si="9"/>
      </c>
      <c r="F35" s="23">
        <f t="shared" si="10"/>
      </c>
      <c r="G35" s="23">
        <f t="shared" si="7"/>
      </c>
      <c r="H35" s="23">
        <f t="shared" si="7"/>
      </c>
      <c r="I35" s="23">
        <f t="shared" si="5"/>
      </c>
      <c r="J35" s="24"/>
      <c r="K35" s="7"/>
      <c r="L35" s="24"/>
      <c r="M35" s="24"/>
      <c r="N35" s="31"/>
      <c r="O35" s="31"/>
      <c r="P35" s="31"/>
      <c r="Q35" s="24"/>
      <c r="R35" s="25"/>
    </row>
    <row r="36" spans="1:18" ht="12.75">
      <c r="A36" s="7"/>
      <c r="B36" s="17">
        <f>IF(ISTEXT(B35),"",IF(MAX(B$27:B35)=Q$211,"",B35+1))</f>
      </c>
      <c r="C36" s="23">
        <f t="shared" si="8"/>
      </c>
      <c r="D36" s="23">
        <f t="shared" si="6"/>
      </c>
      <c r="E36" s="23">
        <f t="shared" si="9"/>
      </c>
      <c r="F36" s="23">
        <f t="shared" si="10"/>
      </c>
      <c r="G36" s="23">
        <f t="shared" si="7"/>
      </c>
      <c r="H36" s="23">
        <f t="shared" si="7"/>
      </c>
      <c r="I36" s="23">
        <f t="shared" si="5"/>
      </c>
      <c r="J36" s="24"/>
      <c r="K36" s="7"/>
      <c r="L36" s="24"/>
      <c r="M36" s="24"/>
      <c r="N36" s="31"/>
      <c r="O36" s="31"/>
      <c r="P36" s="31"/>
      <c r="Q36" s="24"/>
      <c r="R36" s="25"/>
    </row>
    <row r="37" spans="1:18" ht="12.75">
      <c r="A37" s="7"/>
      <c r="B37" s="17">
        <f>IF(ISTEXT(B36),"",IF(MAX(B$27:B36)=Q$211,"",B36+1))</f>
      </c>
      <c r="C37" s="23">
        <f t="shared" si="8"/>
      </c>
      <c r="D37" s="23">
        <f t="shared" si="6"/>
      </c>
      <c r="E37" s="23">
        <f t="shared" si="9"/>
      </c>
      <c r="F37" s="23">
        <f t="shared" si="10"/>
      </c>
      <c r="G37" s="23">
        <f t="shared" si="7"/>
      </c>
      <c r="H37" s="23">
        <f t="shared" si="7"/>
      </c>
      <c r="I37" s="23">
        <f t="shared" si="5"/>
      </c>
      <c r="J37" s="24"/>
      <c r="K37" s="7"/>
      <c r="L37" s="24"/>
      <c r="M37" s="24"/>
      <c r="N37" s="31"/>
      <c r="O37" s="31"/>
      <c r="P37" s="31"/>
      <c r="Q37" s="24"/>
      <c r="R37" s="25"/>
    </row>
    <row r="38" spans="1:18" ht="12.75">
      <c r="A38" s="7"/>
      <c r="B38" s="17">
        <f>IF(ISTEXT(B37),"",IF(MAX(B$27:B37)=Q$211,"",B37+1))</f>
      </c>
      <c r="C38" s="23">
        <f t="shared" si="8"/>
      </c>
      <c r="D38" s="23">
        <f t="shared" si="6"/>
      </c>
      <c r="E38" s="23">
        <f t="shared" si="9"/>
      </c>
      <c r="F38" s="23">
        <f t="shared" si="10"/>
      </c>
      <c r="G38" s="23">
        <f t="shared" si="7"/>
      </c>
      <c r="H38" s="23">
        <f t="shared" si="7"/>
      </c>
      <c r="I38" s="23">
        <f t="shared" si="5"/>
      </c>
      <c r="J38" s="24"/>
      <c r="K38" s="7"/>
      <c r="L38" s="24"/>
      <c r="M38" s="24"/>
      <c r="N38" s="31"/>
      <c r="O38" s="31"/>
      <c r="P38" s="31"/>
      <c r="Q38" s="24"/>
      <c r="R38" s="25"/>
    </row>
    <row r="39" spans="1:18" ht="12.75">
      <c r="A39" s="7"/>
      <c r="B39" s="17">
        <f>IF(ISTEXT(B38),"",IF(MAX(B$27:B38)=Q$211,"",B38+1))</f>
      </c>
      <c r="C39" s="23">
        <f t="shared" si="8"/>
      </c>
      <c r="D39" s="23">
        <f t="shared" si="6"/>
      </c>
      <c r="E39" s="23">
        <f t="shared" si="9"/>
      </c>
      <c r="F39" s="23">
        <f t="shared" si="10"/>
      </c>
      <c r="G39" s="23">
        <f t="shared" si="7"/>
      </c>
      <c r="H39" s="23">
        <f t="shared" si="7"/>
      </c>
      <c r="I39" s="23">
        <f t="shared" si="5"/>
      </c>
      <c r="J39" s="24"/>
      <c r="K39" s="7"/>
      <c r="L39" s="24"/>
      <c r="M39" s="24"/>
      <c r="N39" s="31"/>
      <c r="O39" s="31"/>
      <c r="P39" s="31"/>
      <c r="Q39" s="24"/>
      <c r="R39" s="25"/>
    </row>
    <row r="40" spans="1:18" ht="12.75">
      <c r="A40" s="7"/>
      <c r="B40" s="17">
        <f>IF(ISTEXT(B39),"",IF(MAX(B$27:B39)=Q$211,"",B39+1))</f>
      </c>
      <c r="C40" s="23">
        <f t="shared" si="8"/>
      </c>
      <c r="D40" s="23">
        <f t="shared" si="6"/>
      </c>
      <c r="E40" s="23">
        <f t="shared" si="9"/>
      </c>
      <c r="F40" s="23">
        <f t="shared" si="10"/>
      </c>
      <c r="G40" s="23">
        <f t="shared" si="7"/>
      </c>
      <c r="H40" s="23">
        <f t="shared" si="7"/>
      </c>
      <c r="I40" s="23">
        <f t="shared" si="5"/>
      </c>
      <c r="J40" s="24"/>
      <c r="K40" s="7"/>
      <c r="L40" s="24"/>
      <c r="M40" s="24"/>
      <c r="N40" s="31"/>
      <c r="O40" s="31"/>
      <c r="P40" s="31"/>
      <c r="Q40" s="24"/>
      <c r="R40" s="25"/>
    </row>
    <row r="41" spans="1:18" ht="12.75">
      <c r="A41" s="7"/>
      <c r="B41" s="17">
        <f>IF(ISTEXT(B40),"",IF(MAX(B$27:B40)=Q$211,"",B40+1))</f>
      </c>
      <c r="C41" s="23">
        <f t="shared" si="8"/>
      </c>
      <c r="D41" s="23">
        <f t="shared" si="6"/>
      </c>
      <c r="E41" s="23">
        <f t="shared" si="9"/>
      </c>
      <c r="F41" s="23">
        <f t="shared" si="10"/>
      </c>
      <c r="G41" s="23">
        <f t="shared" si="7"/>
      </c>
      <c r="H41" s="23">
        <f t="shared" si="7"/>
      </c>
      <c r="I41" s="23">
        <f t="shared" si="5"/>
      </c>
      <c r="J41" s="24"/>
      <c r="K41" s="7"/>
      <c r="L41" s="24"/>
      <c r="M41" s="24"/>
      <c r="N41" s="31"/>
      <c r="O41" s="31"/>
      <c r="P41" s="31"/>
      <c r="Q41" s="24"/>
      <c r="R41" s="25"/>
    </row>
    <row r="42" spans="1:18" ht="12.75">
      <c r="A42" s="7"/>
      <c r="B42" s="17">
        <f>IF(ISTEXT(B41),"",IF(MAX(B$27:B41)=Q$211,"",B41+1))</f>
      </c>
      <c r="C42" s="23">
        <f t="shared" si="8"/>
      </c>
      <c r="D42" s="23">
        <f t="shared" si="6"/>
      </c>
      <c r="E42" s="23">
        <f t="shared" si="9"/>
      </c>
      <c r="F42" s="23">
        <f t="shared" si="10"/>
      </c>
      <c r="G42" s="23">
        <f t="shared" si="7"/>
      </c>
      <c r="H42" s="23">
        <f t="shared" si="7"/>
      </c>
      <c r="I42" s="23">
        <f t="shared" si="5"/>
      </c>
      <c r="J42" s="24"/>
      <c r="K42" s="7"/>
      <c r="L42" s="24"/>
      <c r="M42" s="24"/>
      <c r="N42" s="31"/>
      <c r="O42" s="31"/>
      <c r="P42" s="31"/>
      <c r="Q42" s="24"/>
      <c r="R42" s="25"/>
    </row>
    <row r="43" spans="1:18" ht="12.75">
      <c r="A43" s="7"/>
      <c r="B43" s="17">
        <f>IF(ISTEXT(B42),"",IF(MAX(B$27:B42)=Q$211,"",B42+1))</f>
      </c>
      <c r="C43" s="23">
        <f t="shared" si="8"/>
      </c>
      <c r="D43" s="23">
        <f t="shared" si="6"/>
      </c>
      <c r="E43" s="23">
        <f t="shared" si="9"/>
      </c>
      <c r="F43" s="23">
        <f t="shared" si="10"/>
      </c>
      <c r="G43" s="23">
        <f t="shared" si="7"/>
      </c>
      <c r="H43" s="23">
        <f t="shared" si="7"/>
      </c>
      <c r="I43" s="23">
        <f t="shared" si="5"/>
      </c>
      <c r="J43" s="24"/>
      <c r="K43" s="7"/>
      <c r="L43" s="24"/>
      <c r="M43" s="24"/>
      <c r="N43" s="31"/>
      <c r="O43" s="31"/>
      <c r="P43" s="31"/>
      <c r="Q43" s="24"/>
      <c r="R43" s="25"/>
    </row>
    <row r="44" spans="1:18" ht="12.75">
      <c r="A44" s="7"/>
      <c r="B44" s="17">
        <f>IF(ISTEXT(B43),"",IF(MAX(B$27:B43)=Q$211,"",B43+1))</f>
      </c>
      <c r="C44" s="23">
        <f t="shared" si="8"/>
      </c>
      <c r="D44" s="23">
        <f t="shared" si="6"/>
      </c>
      <c r="E44" s="23">
        <f t="shared" si="9"/>
      </c>
      <c r="F44" s="23">
        <f t="shared" si="10"/>
      </c>
      <c r="G44" s="23">
        <f aca="true" t="shared" si="11" ref="G44:H56">IF(ISTEXT(B44),"",G43+E44)</f>
      </c>
      <c r="H44" s="23">
        <f t="shared" si="11"/>
      </c>
      <c r="I44" s="23">
        <f t="shared" si="5"/>
      </c>
      <c r="J44" s="24"/>
      <c r="K44" s="7"/>
      <c r="L44" s="24"/>
      <c r="M44" s="24"/>
      <c r="N44" s="31"/>
      <c r="O44" s="31"/>
      <c r="P44" s="31"/>
      <c r="Q44" s="24"/>
      <c r="R44" s="25"/>
    </row>
    <row r="45" spans="1:18" ht="12.75">
      <c r="A45" s="7"/>
      <c r="B45" s="17">
        <f>IF(ISTEXT(B44),"",IF(MAX(B$27:B44)=Q$211,"",B44+1))</f>
      </c>
      <c r="C45" s="23">
        <f t="shared" si="8"/>
      </c>
      <c r="D45" s="23">
        <f t="shared" si="6"/>
      </c>
      <c r="E45" s="23">
        <f t="shared" si="9"/>
      </c>
      <c r="F45" s="23">
        <f t="shared" si="10"/>
      </c>
      <c r="G45" s="23">
        <f t="shared" si="11"/>
      </c>
      <c r="H45" s="23">
        <f t="shared" si="11"/>
      </c>
      <c r="I45" s="23">
        <f t="shared" si="5"/>
      </c>
      <c r="J45" s="24"/>
      <c r="K45" s="7"/>
      <c r="L45" s="24"/>
      <c r="M45" s="24"/>
      <c r="N45" s="31"/>
      <c r="O45" s="31"/>
      <c r="P45" s="31"/>
      <c r="Q45" s="24"/>
      <c r="R45" s="25"/>
    </row>
    <row r="46" spans="1:18" ht="12.75">
      <c r="A46" s="7"/>
      <c r="B46" s="17">
        <f>IF(ISTEXT(B45),"",IF(MAX(B$27:B45)=Q$211,"",B45+1))</f>
      </c>
      <c r="C46" s="23">
        <f t="shared" si="8"/>
      </c>
      <c r="D46" s="23">
        <f t="shared" si="6"/>
      </c>
      <c r="E46" s="23">
        <f t="shared" si="9"/>
      </c>
      <c r="F46" s="23">
        <f t="shared" si="10"/>
      </c>
      <c r="G46" s="23">
        <f t="shared" si="11"/>
      </c>
      <c r="H46" s="23">
        <f t="shared" si="11"/>
      </c>
      <c r="I46" s="23">
        <f t="shared" si="5"/>
      </c>
      <c r="J46" s="24"/>
      <c r="K46" s="7"/>
      <c r="L46" s="24"/>
      <c r="M46" s="24"/>
      <c r="N46" s="31"/>
      <c r="O46" s="31"/>
      <c r="P46" s="31"/>
      <c r="Q46" s="24"/>
      <c r="R46" s="25"/>
    </row>
    <row r="47" spans="1:18" ht="12.75">
      <c r="A47" s="7"/>
      <c r="B47" s="17">
        <f>IF(ISTEXT(B46),"",IF(MAX(B$27:B46)=Q$211,"",B46+1))</f>
      </c>
      <c r="C47" s="23">
        <f t="shared" si="8"/>
      </c>
      <c r="D47" s="23">
        <f t="shared" si="6"/>
      </c>
      <c r="E47" s="23">
        <f t="shared" si="9"/>
      </c>
      <c r="F47" s="23">
        <f t="shared" si="10"/>
      </c>
      <c r="G47" s="23">
        <f t="shared" si="11"/>
      </c>
      <c r="H47" s="23">
        <f t="shared" si="11"/>
      </c>
      <c r="I47" s="23">
        <f t="shared" si="5"/>
      </c>
      <c r="J47" s="24"/>
      <c r="K47" s="7"/>
      <c r="L47" s="24"/>
      <c r="M47" s="24"/>
      <c r="N47" s="31"/>
      <c r="O47" s="31"/>
      <c r="P47" s="31"/>
      <c r="Q47" s="24"/>
      <c r="R47" s="25"/>
    </row>
    <row r="48" spans="1:18" ht="12.75">
      <c r="A48" s="7"/>
      <c r="B48" s="17">
        <f>IF(ISTEXT(B47),"",IF(MAX(B$27:B47)=Q$211,"",B47+1))</f>
      </c>
      <c r="C48" s="23">
        <f t="shared" si="8"/>
      </c>
      <c r="D48" s="23">
        <f t="shared" si="6"/>
      </c>
      <c r="E48" s="23">
        <f t="shared" si="9"/>
      </c>
      <c r="F48" s="23">
        <f t="shared" si="10"/>
      </c>
      <c r="G48" s="23">
        <f t="shared" si="11"/>
      </c>
      <c r="H48" s="23">
        <f t="shared" si="11"/>
      </c>
      <c r="I48" s="23">
        <f t="shared" si="5"/>
      </c>
      <c r="J48" s="24"/>
      <c r="K48" s="7"/>
      <c r="L48" s="24"/>
      <c r="M48" s="24"/>
      <c r="N48" s="31"/>
      <c r="O48" s="31"/>
      <c r="P48" s="31"/>
      <c r="Q48" s="24"/>
      <c r="R48" s="25"/>
    </row>
    <row r="49" spans="1:18" ht="12.75">
      <c r="A49" s="7"/>
      <c r="B49" s="17">
        <f>IF(ISTEXT(B48),"",IF(MAX(B$27:B48)=Q$211,"",B48+1))</f>
      </c>
      <c r="C49" s="23">
        <f t="shared" si="8"/>
      </c>
      <c r="D49" s="23">
        <f t="shared" si="6"/>
      </c>
      <c r="E49" s="23">
        <f t="shared" si="9"/>
      </c>
      <c r="F49" s="23">
        <f t="shared" si="10"/>
      </c>
      <c r="G49" s="23">
        <f t="shared" si="11"/>
      </c>
      <c r="H49" s="23">
        <f t="shared" si="11"/>
      </c>
      <c r="I49" s="23">
        <f t="shared" si="5"/>
      </c>
      <c r="J49" s="24"/>
      <c r="K49" s="7"/>
      <c r="L49" s="24"/>
      <c r="M49" s="24"/>
      <c r="N49" s="31"/>
      <c r="O49" s="31"/>
      <c r="P49" s="31"/>
      <c r="Q49" s="24"/>
      <c r="R49" s="25"/>
    </row>
    <row r="50" spans="1:18" ht="12.75">
      <c r="A50" s="7"/>
      <c r="B50" s="17">
        <f>IF(ISTEXT(B49),"",IF(MAX(B$27:B49)=Q$211,"",B49+1))</f>
      </c>
      <c r="C50" s="23">
        <f t="shared" si="8"/>
      </c>
      <c r="D50" s="23">
        <f t="shared" si="6"/>
      </c>
      <c r="E50" s="23">
        <f t="shared" si="9"/>
      </c>
      <c r="F50" s="23">
        <f t="shared" si="10"/>
      </c>
      <c r="G50" s="23">
        <f t="shared" si="11"/>
      </c>
      <c r="H50" s="23">
        <f t="shared" si="11"/>
      </c>
      <c r="I50" s="23">
        <f t="shared" si="5"/>
      </c>
      <c r="J50" s="24"/>
      <c r="K50" s="7"/>
      <c r="L50" s="24"/>
      <c r="M50" s="24"/>
      <c r="N50" s="31"/>
      <c r="O50" s="31"/>
      <c r="P50" s="31"/>
      <c r="Q50" s="24"/>
      <c r="R50" s="25"/>
    </row>
    <row r="51" spans="1:18" ht="12.75">
      <c r="A51" s="7"/>
      <c r="B51" s="17">
        <f>IF(ISTEXT(B50),"",IF(MAX(B$27:B50)=Q$211,"",B50+1))</f>
      </c>
      <c r="C51" s="23">
        <f t="shared" si="8"/>
      </c>
      <c r="D51" s="23">
        <f t="shared" si="6"/>
      </c>
      <c r="E51" s="23">
        <f t="shared" si="9"/>
      </c>
      <c r="F51" s="23">
        <f t="shared" si="10"/>
      </c>
      <c r="G51" s="23">
        <f t="shared" si="11"/>
      </c>
      <c r="H51" s="23">
        <f t="shared" si="11"/>
      </c>
      <c r="I51" s="23">
        <f t="shared" si="5"/>
      </c>
      <c r="J51" s="24"/>
      <c r="K51" s="7"/>
      <c r="L51" s="24"/>
      <c r="M51" s="24"/>
      <c r="N51" s="31"/>
      <c r="O51" s="31"/>
      <c r="P51" s="31"/>
      <c r="Q51" s="24"/>
      <c r="R51" s="25"/>
    </row>
    <row r="52" spans="1:18" ht="12.75">
      <c r="A52" s="7"/>
      <c r="B52" s="17">
        <f>IF(ISTEXT(B51),"",IF(MAX(B$27:B51)=Q$211,"",B51+1))</f>
      </c>
      <c r="C52" s="23">
        <f t="shared" si="8"/>
      </c>
      <c r="D52" s="23">
        <f t="shared" si="6"/>
      </c>
      <c r="E52" s="23">
        <f t="shared" si="9"/>
      </c>
      <c r="F52" s="23">
        <f t="shared" si="10"/>
      </c>
      <c r="G52" s="23">
        <f t="shared" si="11"/>
      </c>
      <c r="H52" s="23">
        <f t="shared" si="11"/>
      </c>
      <c r="I52" s="23">
        <f t="shared" si="5"/>
      </c>
      <c r="J52" s="24"/>
      <c r="K52" s="7"/>
      <c r="L52" s="24"/>
      <c r="M52" s="24"/>
      <c r="N52" s="31"/>
      <c r="O52" s="31"/>
      <c r="P52" s="31"/>
      <c r="Q52" s="24"/>
      <c r="R52" s="25"/>
    </row>
    <row r="53" spans="1:18" ht="12.75">
      <c r="A53" s="7"/>
      <c r="B53" s="17">
        <f>IF(ISTEXT(B52),"",IF(MAX(B$27:B52)=Q$211,"",B52+1))</f>
      </c>
      <c r="C53" s="23">
        <f t="shared" si="8"/>
      </c>
      <c r="D53" s="23">
        <f t="shared" si="6"/>
      </c>
      <c r="E53" s="23">
        <f t="shared" si="9"/>
      </c>
      <c r="F53" s="23">
        <f t="shared" si="10"/>
      </c>
      <c r="G53" s="23">
        <f t="shared" si="11"/>
      </c>
      <c r="H53" s="23">
        <f t="shared" si="11"/>
      </c>
      <c r="I53" s="23">
        <f t="shared" si="5"/>
      </c>
      <c r="J53" s="24"/>
      <c r="K53" s="7"/>
      <c r="L53" s="24"/>
      <c r="M53" s="24"/>
      <c r="N53" s="31"/>
      <c r="O53" s="31"/>
      <c r="P53" s="31"/>
      <c r="Q53" s="24"/>
      <c r="R53" s="25"/>
    </row>
    <row r="54" spans="1:18" ht="12.75">
      <c r="A54" s="7"/>
      <c r="B54" s="17">
        <f>IF(ISTEXT(B53),"",IF(MAX(B$27:B53)=Q$211,"",B53+1))</f>
      </c>
      <c r="C54" s="23">
        <f t="shared" si="8"/>
      </c>
      <c r="D54" s="23">
        <f t="shared" si="6"/>
      </c>
      <c r="E54" s="23">
        <f t="shared" si="9"/>
      </c>
      <c r="F54" s="23">
        <f t="shared" si="10"/>
      </c>
      <c r="G54" s="23">
        <f t="shared" si="11"/>
      </c>
      <c r="H54" s="23">
        <f t="shared" si="11"/>
      </c>
      <c r="I54" s="23">
        <f t="shared" si="5"/>
      </c>
      <c r="J54" s="24"/>
      <c r="K54" s="7"/>
      <c r="L54" s="24"/>
      <c r="M54" s="24"/>
      <c r="N54" s="31"/>
      <c r="O54" s="31"/>
      <c r="P54" s="31"/>
      <c r="Q54" s="24"/>
      <c r="R54" s="25"/>
    </row>
    <row r="55" spans="1:18" ht="12.75">
      <c r="A55" s="7"/>
      <c r="B55" s="17">
        <f>IF(ISTEXT(B54),"",IF(MAX(B$27:B54)=Q$211,"",B54+1))</f>
      </c>
      <c r="C55" s="23">
        <f t="shared" si="8"/>
      </c>
      <c r="D55" s="23">
        <f t="shared" si="6"/>
      </c>
      <c r="E55" s="23">
        <f t="shared" si="9"/>
      </c>
      <c r="F55" s="23">
        <f t="shared" si="10"/>
      </c>
      <c r="G55" s="23">
        <f t="shared" si="11"/>
      </c>
      <c r="H55" s="23">
        <f t="shared" si="11"/>
      </c>
      <c r="I55" s="23">
        <f t="shared" si="5"/>
      </c>
      <c r="J55" s="24"/>
      <c r="K55" s="7"/>
      <c r="L55" s="24"/>
      <c r="M55" s="24"/>
      <c r="N55" s="31"/>
      <c r="O55" s="31"/>
      <c r="P55" s="31"/>
      <c r="Q55" s="24"/>
      <c r="R55" s="25"/>
    </row>
    <row r="56" spans="1:18" ht="12.75">
      <c r="A56" s="7"/>
      <c r="B56" s="17">
        <f>IF(ISTEXT(B55),"",IF(MAX(B$27:B55)=Q$211,"",B55+1))</f>
      </c>
      <c r="C56" s="23">
        <f t="shared" si="8"/>
      </c>
      <c r="D56" s="23">
        <f t="shared" si="6"/>
      </c>
      <c r="E56" s="23">
        <f t="shared" si="9"/>
      </c>
      <c r="F56" s="23">
        <f t="shared" si="10"/>
      </c>
      <c r="G56" s="23">
        <f t="shared" si="11"/>
      </c>
      <c r="H56" s="23">
        <f t="shared" si="11"/>
      </c>
      <c r="I56" s="23">
        <f t="shared" si="5"/>
      </c>
      <c r="J56" s="24"/>
      <c r="K56" s="7"/>
      <c r="L56" s="24"/>
      <c r="M56" s="24"/>
      <c r="N56" s="31"/>
      <c r="O56" s="31"/>
      <c r="P56" s="31"/>
      <c r="Q56" s="24"/>
      <c r="R56" s="25"/>
    </row>
    <row r="57" spans="1:18" ht="12.75">
      <c r="A57" s="26"/>
      <c r="B57" s="26"/>
      <c r="C57" s="27"/>
      <c r="D57" s="27"/>
      <c r="E57" s="27"/>
      <c r="F57" s="27"/>
      <c r="G57" s="27"/>
      <c r="H57" s="27"/>
      <c r="I57" s="27"/>
      <c r="J57" s="26"/>
      <c r="K57" s="26"/>
      <c r="L57" s="26"/>
      <c r="M57" s="26"/>
      <c r="N57" s="30"/>
      <c r="O57" s="30"/>
      <c r="P57" s="30"/>
      <c r="Q57" s="26"/>
      <c r="R57" s="25"/>
    </row>
    <row r="58" spans="1:18" ht="12.75">
      <c r="A58" s="26"/>
      <c r="B58" s="26"/>
      <c r="C58" s="27"/>
      <c r="D58" s="27"/>
      <c r="E58" s="27"/>
      <c r="F58" s="27"/>
      <c r="G58" s="27"/>
      <c r="H58" s="27"/>
      <c r="I58" s="27"/>
      <c r="J58" s="26"/>
      <c r="K58" s="26"/>
      <c r="L58" s="26"/>
      <c r="M58" s="26"/>
      <c r="N58" s="30"/>
      <c r="O58" s="30"/>
      <c r="P58" s="30"/>
      <c r="Q58" s="26"/>
      <c r="R58" s="25"/>
    </row>
    <row r="59" spans="1:18" ht="12.75">
      <c r="A59" s="26"/>
      <c r="B59" s="26"/>
      <c r="C59" s="27"/>
      <c r="D59" s="27"/>
      <c r="E59" s="27"/>
      <c r="F59" s="27"/>
      <c r="G59" s="27"/>
      <c r="H59" s="27"/>
      <c r="I59" s="27"/>
      <c r="J59" s="26"/>
      <c r="K59" s="26"/>
      <c r="L59" s="26"/>
      <c r="M59" s="26"/>
      <c r="N59" s="30"/>
      <c r="O59" s="30"/>
      <c r="P59" s="30"/>
      <c r="Q59" s="26"/>
      <c r="R59" s="25"/>
    </row>
    <row r="60" spans="1:18" ht="12.75">
      <c r="A60" s="26"/>
      <c r="B60" s="26"/>
      <c r="C60" s="27"/>
      <c r="D60" s="27"/>
      <c r="E60" s="27"/>
      <c r="F60" s="27"/>
      <c r="G60" s="27"/>
      <c r="H60" s="27"/>
      <c r="I60" s="27"/>
      <c r="J60" s="26"/>
      <c r="K60" s="26"/>
      <c r="L60" s="26"/>
      <c r="M60" s="26"/>
      <c r="N60" s="30"/>
      <c r="O60" s="30"/>
      <c r="P60" s="30"/>
      <c r="Q60" s="26"/>
      <c r="R60" s="25"/>
    </row>
    <row r="61" spans="1:18" ht="12.75">
      <c r="A61" s="26"/>
      <c r="B61" s="26"/>
      <c r="C61" s="27"/>
      <c r="D61" s="27"/>
      <c r="E61" s="27"/>
      <c r="F61" s="27"/>
      <c r="G61" s="27"/>
      <c r="H61" s="27"/>
      <c r="I61" s="27"/>
      <c r="J61" s="26"/>
      <c r="K61" s="26"/>
      <c r="L61" s="26"/>
      <c r="M61" s="26"/>
      <c r="N61" s="30"/>
      <c r="O61" s="30"/>
      <c r="P61" s="30"/>
      <c r="Q61" s="26"/>
      <c r="R61" s="25"/>
    </row>
    <row r="62" spans="1:18" ht="12.75">
      <c r="A62" s="26"/>
      <c r="B62" s="26"/>
      <c r="C62" s="27"/>
      <c r="D62" s="27"/>
      <c r="E62" s="27"/>
      <c r="F62" s="27"/>
      <c r="G62" s="27"/>
      <c r="H62" s="27"/>
      <c r="I62" s="27"/>
      <c r="J62" s="26"/>
      <c r="K62" s="26"/>
      <c r="L62" s="26"/>
      <c r="M62" s="26"/>
      <c r="N62" s="30"/>
      <c r="O62" s="30"/>
      <c r="P62" s="30"/>
      <c r="Q62" s="26"/>
      <c r="R62" s="25"/>
    </row>
    <row r="63" spans="1:18" ht="12.75">
      <c r="A63" s="26"/>
      <c r="B63" s="26"/>
      <c r="C63" s="27"/>
      <c r="D63" s="27"/>
      <c r="E63" s="27"/>
      <c r="F63" s="27"/>
      <c r="G63" s="27"/>
      <c r="H63" s="27"/>
      <c r="I63" s="27"/>
      <c r="J63" s="26"/>
      <c r="K63" s="26"/>
      <c r="L63" s="26"/>
      <c r="M63" s="26"/>
      <c r="N63" s="30"/>
      <c r="O63" s="30"/>
      <c r="P63" s="30"/>
      <c r="Q63" s="26"/>
      <c r="R63" s="25"/>
    </row>
    <row r="64" spans="1:18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30"/>
      <c r="O64" s="30"/>
      <c r="P64" s="30"/>
      <c r="Q64" s="26"/>
      <c r="R64" s="25"/>
    </row>
    <row r="65" spans="1:18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30"/>
      <c r="O65" s="30"/>
      <c r="P65" s="30"/>
      <c r="Q65" s="26"/>
      <c r="R65" s="25"/>
    </row>
    <row r="66" spans="1:18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30"/>
      <c r="O66" s="30"/>
      <c r="P66" s="30"/>
      <c r="Q66" s="26"/>
      <c r="R66" s="25"/>
    </row>
    <row r="67" spans="1:18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30"/>
      <c r="O67" s="30"/>
      <c r="P67" s="30"/>
      <c r="Q67" s="26"/>
      <c r="R67" s="25"/>
    </row>
    <row r="68" spans="1:18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30"/>
      <c r="O68" s="30"/>
      <c r="P68" s="30"/>
      <c r="Q68" s="26"/>
      <c r="R68" s="25"/>
    </row>
    <row r="69" spans="1:18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30"/>
      <c r="O69" s="30"/>
      <c r="P69" s="30"/>
      <c r="Q69" s="26"/>
      <c r="R69" s="25"/>
    </row>
    <row r="70" spans="1:18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30"/>
      <c r="O70" s="30"/>
      <c r="P70" s="30"/>
      <c r="Q70" s="26"/>
      <c r="R70" s="25"/>
    </row>
    <row r="71" spans="1:18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30"/>
      <c r="O71" s="30"/>
      <c r="P71" s="30"/>
      <c r="Q71" s="26"/>
      <c r="R71" s="25"/>
    </row>
    <row r="72" spans="1:18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30"/>
      <c r="O72" s="30"/>
      <c r="P72" s="30"/>
      <c r="Q72" s="26"/>
      <c r="R72" s="25"/>
    </row>
    <row r="73" spans="1:18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30"/>
      <c r="O73" s="30"/>
      <c r="P73" s="30"/>
      <c r="Q73" s="26"/>
      <c r="R73" s="25"/>
    </row>
    <row r="74" spans="1:18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30"/>
      <c r="O74" s="30"/>
      <c r="P74" s="30"/>
      <c r="Q74" s="26"/>
      <c r="R74" s="25"/>
    </row>
    <row r="75" spans="1:18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30"/>
      <c r="O75" s="30"/>
      <c r="P75" s="30"/>
      <c r="Q75" s="26"/>
      <c r="R75" s="25"/>
    </row>
    <row r="76" spans="1:18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30"/>
      <c r="O76" s="30"/>
      <c r="P76" s="30"/>
      <c r="Q76" s="26"/>
      <c r="R76" s="25"/>
    </row>
    <row r="77" spans="1:18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30"/>
      <c r="O77" s="30"/>
      <c r="P77" s="30"/>
      <c r="Q77" s="26"/>
      <c r="R77" s="25"/>
    </row>
    <row r="78" spans="1:18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30"/>
      <c r="O78" s="30"/>
      <c r="P78" s="30"/>
      <c r="Q78" s="26"/>
      <c r="R78" s="25"/>
    </row>
    <row r="79" spans="1:18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30"/>
      <c r="O79" s="30"/>
      <c r="P79" s="30"/>
      <c r="Q79" s="26"/>
      <c r="R79" s="25"/>
    </row>
    <row r="80" spans="1:18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30"/>
      <c r="O80" s="30"/>
      <c r="P80" s="30"/>
      <c r="Q80" s="26"/>
      <c r="R80" s="25"/>
    </row>
    <row r="81" spans="1:18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30"/>
      <c r="O81" s="30"/>
      <c r="P81" s="30"/>
      <c r="Q81" s="26"/>
      <c r="R81" s="25"/>
    </row>
    <row r="82" spans="1:18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30"/>
      <c r="O82" s="30"/>
      <c r="P82" s="30"/>
      <c r="Q82" s="26"/>
      <c r="R82" s="25"/>
    </row>
    <row r="83" spans="1:18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30"/>
      <c r="O83" s="30"/>
      <c r="P83" s="30"/>
      <c r="Q83" s="26"/>
      <c r="R83" s="25"/>
    </row>
    <row r="84" spans="1:18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30"/>
      <c r="O84" s="30"/>
      <c r="P84" s="30"/>
      <c r="Q84" s="26"/>
      <c r="R84" s="25"/>
    </row>
    <row r="85" spans="1:18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30"/>
      <c r="O85" s="30"/>
      <c r="P85" s="30"/>
      <c r="Q85" s="26"/>
      <c r="R85" s="25"/>
    </row>
    <row r="86" spans="1:18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30"/>
      <c r="O86" s="30"/>
      <c r="P86" s="30"/>
      <c r="Q86" s="26"/>
      <c r="R86" s="25"/>
    </row>
    <row r="87" spans="1:18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30"/>
      <c r="O87" s="30"/>
      <c r="P87" s="30"/>
      <c r="Q87" s="26"/>
      <c r="R87" s="25"/>
    </row>
    <row r="88" spans="1:18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30"/>
      <c r="O88" s="30"/>
      <c r="P88" s="30"/>
      <c r="Q88" s="26"/>
      <c r="R88" s="25"/>
    </row>
    <row r="89" spans="1:18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30"/>
      <c r="O89" s="30"/>
      <c r="P89" s="30"/>
      <c r="Q89" s="26"/>
      <c r="R89" s="25"/>
    </row>
    <row r="90" spans="1:18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30"/>
      <c r="O90" s="30"/>
      <c r="P90" s="30"/>
      <c r="Q90" s="26"/>
      <c r="R90" s="25"/>
    </row>
    <row r="91" spans="1:18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30"/>
      <c r="O91" s="30"/>
      <c r="P91" s="30"/>
      <c r="Q91" s="26"/>
      <c r="R91" s="25"/>
    </row>
    <row r="92" spans="1:18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30"/>
      <c r="O92" s="30"/>
      <c r="P92" s="30"/>
      <c r="Q92" s="26"/>
      <c r="R92" s="25"/>
    </row>
    <row r="93" spans="1:18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30"/>
      <c r="O93" s="30"/>
      <c r="P93" s="30"/>
      <c r="Q93" s="26"/>
      <c r="R93" s="25"/>
    </row>
    <row r="94" spans="1:18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30"/>
      <c r="O94" s="30"/>
      <c r="P94" s="30"/>
      <c r="Q94" s="26"/>
      <c r="R94" s="25"/>
    </row>
    <row r="95" spans="1:18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30"/>
      <c r="O95" s="30"/>
      <c r="P95" s="30"/>
      <c r="Q95" s="26"/>
      <c r="R95" s="25"/>
    </row>
    <row r="96" spans="1:18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30"/>
      <c r="O96" s="30"/>
      <c r="P96" s="30"/>
      <c r="Q96" s="26"/>
      <c r="R96" s="25"/>
    </row>
    <row r="97" spans="1:18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30"/>
      <c r="O97" s="30"/>
      <c r="P97" s="30"/>
      <c r="Q97" s="26"/>
      <c r="R97" s="25"/>
    </row>
    <row r="98" spans="1:18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30"/>
      <c r="O98" s="30"/>
      <c r="P98" s="30"/>
      <c r="Q98" s="26"/>
      <c r="R98" s="25"/>
    </row>
    <row r="99" spans="1:18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30"/>
      <c r="O99" s="30"/>
      <c r="P99" s="30"/>
      <c r="Q99" s="26"/>
      <c r="R99" s="25"/>
    </row>
    <row r="100" spans="1:18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30"/>
      <c r="O100" s="30"/>
      <c r="P100" s="30"/>
      <c r="Q100" s="26"/>
      <c r="R100" s="25"/>
    </row>
    <row r="101" spans="1:18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30"/>
      <c r="O101" s="30"/>
      <c r="P101" s="30"/>
      <c r="Q101" s="26"/>
      <c r="R101" s="25"/>
    </row>
    <row r="102" spans="1:18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30"/>
      <c r="O102" s="30"/>
      <c r="P102" s="30"/>
      <c r="Q102" s="26"/>
      <c r="R102" s="25"/>
    </row>
    <row r="103" spans="1:18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30"/>
      <c r="O103" s="30"/>
      <c r="P103" s="30"/>
      <c r="Q103" s="26"/>
      <c r="R103" s="25"/>
    </row>
    <row r="104" spans="1:18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30"/>
      <c r="O104" s="30"/>
      <c r="P104" s="30"/>
      <c r="Q104" s="26"/>
      <c r="R104" s="25"/>
    </row>
    <row r="105" spans="1:18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30"/>
      <c r="O105" s="30"/>
      <c r="P105" s="30"/>
      <c r="Q105" s="26"/>
      <c r="R105" s="25"/>
    </row>
    <row r="106" spans="1:18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30"/>
      <c r="O106" s="30"/>
      <c r="P106" s="30"/>
      <c r="Q106" s="26"/>
      <c r="R106" s="25"/>
    </row>
    <row r="107" spans="1:18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30"/>
      <c r="O107" s="30"/>
      <c r="P107" s="30"/>
      <c r="Q107" s="26"/>
      <c r="R107" s="25"/>
    </row>
    <row r="108" spans="1:18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30"/>
      <c r="O108" s="30"/>
      <c r="P108" s="30"/>
      <c r="Q108" s="26"/>
      <c r="R108" s="25"/>
    </row>
    <row r="109" spans="1:18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30"/>
      <c r="O109" s="30"/>
      <c r="P109" s="30"/>
      <c r="Q109" s="26"/>
      <c r="R109" s="25"/>
    </row>
    <row r="110" spans="1:18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30"/>
      <c r="O110" s="30"/>
      <c r="P110" s="30"/>
      <c r="Q110" s="26"/>
      <c r="R110" s="25"/>
    </row>
    <row r="111" spans="1:18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30"/>
      <c r="O111" s="30"/>
      <c r="P111" s="30"/>
      <c r="Q111" s="26"/>
      <c r="R111" s="25"/>
    </row>
    <row r="112" spans="1:18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30"/>
      <c r="O112" s="30"/>
      <c r="P112" s="30"/>
      <c r="Q112" s="26"/>
      <c r="R112" s="25"/>
    </row>
    <row r="113" spans="1:18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30"/>
      <c r="O113" s="30"/>
      <c r="P113" s="30"/>
      <c r="Q113" s="26"/>
      <c r="R113" s="25"/>
    </row>
    <row r="114" spans="1:18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30"/>
      <c r="O114" s="30"/>
      <c r="P114" s="30"/>
      <c r="Q114" s="26"/>
      <c r="R114" s="25"/>
    </row>
    <row r="115" spans="1:18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30"/>
      <c r="O115" s="30"/>
      <c r="P115" s="30"/>
      <c r="Q115" s="26"/>
      <c r="R115" s="25"/>
    </row>
    <row r="116" spans="1:18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30"/>
      <c r="O116" s="30"/>
      <c r="P116" s="30"/>
      <c r="Q116" s="26"/>
      <c r="R116" s="25"/>
    </row>
    <row r="117" spans="1:18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30"/>
      <c r="O117" s="30"/>
      <c r="P117" s="30"/>
      <c r="Q117" s="26"/>
      <c r="R117" s="25"/>
    </row>
    <row r="118" spans="1:18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30"/>
      <c r="O118" s="30"/>
      <c r="P118" s="30"/>
      <c r="Q118" s="26"/>
      <c r="R118" s="25"/>
    </row>
    <row r="119" spans="1:18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30"/>
      <c r="O119" s="30"/>
      <c r="P119" s="30"/>
      <c r="Q119" s="26"/>
      <c r="R119" s="25"/>
    </row>
    <row r="120" spans="1:18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30"/>
      <c r="O120" s="30"/>
      <c r="P120" s="30"/>
      <c r="Q120" s="26"/>
      <c r="R120" s="25"/>
    </row>
    <row r="121" spans="1:18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30"/>
      <c r="O121" s="30"/>
      <c r="P121" s="30"/>
      <c r="Q121" s="26"/>
      <c r="R121" s="25"/>
    </row>
    <row r="122" spans="1:18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30"/>
      <c r="O122" s="30"/>
      <c r="P122" s="30"/>
      <c r="Q122" s="26"/>
      <c r="R122" s="25"/>
    </row>
    <row r="123" spans="1:18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30"/>
      <c r="O123" s="30"/>
      <c r="P123" s="30"/>
      <c r="Q123" s="26"/>
      <c r="R123" s="25"/>
    </row>
    <row r="124" spans="1:18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30"/>
      <c r="O124" s="30"/>
      <c r="P124" s="30"/>
      <c r="Q124" s="26"/>
      <c r="R124" s="25"/>
    </row>
    <row r="125" spans="1:18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30"/>
      <c r="O125" s="30"/>
      <c r="P125" s="30"/>
      <c r="Q125" s="26"/>
      <c r="R125" s="25"/>
    </row>
    <row r="126" spans="1:18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30"/>
      <c r="O126" s="30"/>
      <c r="P126" s="30"/>
      <c r="Q126" s="26"/>
      <c r="R126" s="25"/>
    </row>
    <row r="127" spans="1:18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30"/>
      <c r="O127" s="30"/>
      <c r="P127" s="30"/>
      <c r="Q127" s="26"/>
      <c r="R127" s="25"/>
    </row>
    <row r="128" spans="1:18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30"/>
      <c r="O128" s="30"/>
      <c r="P128" s="30"/>
      <c r="Q128" s="26"/>
      <c r="R128" s="25"/>
    </row>
    <row r="129" spans="1:18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30"/>
      <c r="O129" s="30"/>
      <c r="P129" s="30"/>
      <c r="Q129" s="26"/>
      <c r="R129" s="25"/>
    </row>
    <row r="130" spans="1:18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30"/>
      <c r="O130" s="30"/>
      <c r="P130" s="30"/>
      <c r="Q130" s="26"/>
      <c r="R130" s="25"/>
    </row>
    <row r="131" spans="1:18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30"/>
      <c r="O131" s="30"/>
      <c r="P131" s="30"/>
      <c r="Q131" s="26"/>
      <c r="R131" s="25"/>
    </row>
    <row r="132" spans="1:18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30"/>
      <c r="O132" s="30"/>
      <c r="P132" s="30"/>
      <c r="Q132" s="26"/>
      <c r="R132" s="25"/>
    </row>
    <row r="133" spans="1:18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30"/>
      <c r="O133" s="30"/>
      <c r="P133" s="30"/>
      <c r="Q133" s="26"/>
      <c r="R133" s="25"/>
    </row>
    <row r="134" spans="1:18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30"/>
      <c r="O134" s="30"/>
      <c r="P134" s="30"/>
      <c r="Q134" s="26"/>
      <c r="R134" s="25"/>
    </row>
    <row r="135" spans="1:18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30"/>
      <c r="O135" s="30"/>
      <c r="P135" s="30"/>
      <c r="Q135" s="26"/>
      <c r="R135" s="25"/>
    </row>
    <row r="136" spans="1:18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30"/>
      <c r="O136" s="30"/>
      <c r="P136" s="30"/>
      <c r="Q136" s="26"/>
      <c r="R136" s="25"/>
    </row>
    <row r="137" spans="1:18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30"/>
      <c r="O137" s="30"/>
      <c r="P137" s="30"/>
      <c r="Q137" s="26"/>
      <c r="R137" s="25"/>
    </row>
    <row r="138" spans="1:18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30"/>
      <c r="O138" s="30"/>
      <c r="P138" s="30"/>
      <c r="Q138" s="26"/>
      <c r="R138" s="25"/>
    </row>
    <row r="139" spans="1:18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30"/>
      <c r="O139" s="30"/>
      <c r="P139" s="30"/>
      <c r="Q139" s="26"/>
      <c r="R139" s="25"/>
    </row>
    <row r="140" spans="1:18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30"/>
      <c r="O140" s="30"/>
      <c r="P140" s="30"/>
      <c r="Q140" s="26"/>
      <c r="R140" s="25"/>
    </row>
    <row r="141" spans="1:18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30"/>
      <c r="O141" s="30"/>
      <c r="P141" s="30"/>
      <c r="Q141" s="26"/>
      <c r="R141" s="25"/>
    </row>
    <row r="142" spans="1:18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30"/>
      <c r="O142" s="30"/>
      <c r="P142" s="30"/>
      <c r="Q142" s="26"/>
      <c r="R142" s="25"/>
    </row>
    <row r="143" spans="1:18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30"/>
      <c r="O143" s="30"/>
      <c r="P143" s="30"/>
      <c r="Q143" s="26"/>
      <c r="R143" s="25"/>
    </row>
    <row r="144" spans="1:18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30"/>
      <c r="O144" s="30"/>
      <c r="P144" s="30"/>
      <c r="Q144" s="26"/>
      <c r="R144" s="25"/>
    </row>
    <row r="145" spans="1:18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30"/>
      <c r="O145" s="30"/>
      <c r="P145" s="30"/>
      <c r="Q145" s="26"/>
      <c r="R145" s="25"/>
    </row>
    <row r="146" spans="1:18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30"/>
      <c r="O146" s="30"/>
      <c r="P146" s="30"/>
      <c r="Q146" s="26"/>
      <c r="R146" s="25"/>
    </row>
    <row r="147" spans="1:18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30"/>
      <c r="O147" s="30"/>
      <c r="P147" s="30"/>
      <c r="Q147" s="26"/>
      <c r="R147" s="25"/>
    </row>
    <row r="148" spans="1:18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30"/>
      <c r="O148" s="30"/>
      <c r="P148" s="30"/>
      <c r="Q148" s="26"/>
      <c r="R148" s="25"/>
    </row>
    <row r="149" spans="1:18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30"/>
      <c r="O149" s="30"/>
      <c r="P149" s="30"/>
      <c r="Q149" s="26"/>
      <c r="R149" s="25"/>
    </row>
    <row r="150" spans="1:18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30"/>
      <c r="O150" s="30"/>
      <c r="P150" s="30"/>
      <c r="Q150" s="26"/>
      <c r="R150" s="25"/>
    </row>
    <row r="151" spans="1:18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30"/>
      <c r="O151" s="30"/>
      <c r="P151" s="30"/>
      <c r="Q151" s="26"/>
      <c r="R151" s="25"/>
    </row>
    <row r="152" spans="1:18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30"/>
      <c r="O152" s="30"/>
      <c r="P152" s="30"/>
      <c r="Q152" s="26"/>
      <c r="R152" s="25"/>
    </row>
    <row r="153" spans="1:18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30"/>
      <c r="O153" s="30"/>
      <c r="P153" s="30"/>
      <c r="Q153" s="26"/>
      <c r="R153" s="25"/>
    </row>
    <row r="154" spans="1:18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30"/>
      <c r="O154" s="30"/>
      <c r="P154" s="30"/>
      <c r="Q154" s="26"/>
      <c r="R154" s="25"/>
    </row>
    <row r="155" spans="1:18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30"/>
      <c r="O155" s="30"/>
      <c r="P155" s="30"/>
      <c r="Q155" s="26"/>
      <c r="R155" s="25"/>
    </row>
    <row r="156" spans="1:18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30"/>
      <c r="O156" s="30"/>
      <c r="P156" s="30"/>
      <c r="Q156" s="26"/>
      <c r="R156" s="25"/>
    </row>
    <row r="157" spans="1:18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30"/>
      <c r="O157" s="30"/>
      <c r="P157" s="30"/>
      <c r="Q157" s="26"/>
      <c r="R157" s="25"/>
    </row>
    <row r="158" spans="1:18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30"/>
      <c r="O158" s="30"/>
      <c r="P158" s="30"/>
      <c r="Q158" s="26"/>
      <c r="R158" s="25"/>
    </row>
    <row r="159" spans="1:18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30"/>
      <c r="O159" s="30"/>
      <c r="P159" s="30"/>
      <c r="Q159" s="26"/>
      <c r="R159" s="25"/>
    </row>
    <row r="160" spans="1:18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30"/>
      <c r="O160" s="30"/>
      <c r="P160" s="30"/>
      <c r="Q160" s="26"/>
      <c r="R160" s="25"/>
    </row>
    <row r="161" spans="1:18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30"/>
      <c r="O161" s="30"/>
      <c r="P161" s="30"/>
      <c r="Q161" s="26"/>
      <c r="R161" s="25"/>
    </row>
    <row r="162" spans="1:18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30"/>
      <c r="O162" s="30"/>
      <c r="P162" s="30"/>
      <c r="Q162" s="26"/>
      <c r="R162" s="25"/>
    </row>
    <row r="163" spans="1:18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30"/>
      <c r="O163" s="30"/>
      <c r="P163" s="30"/>
      <c r="Q163" s="26"/>
      <c r="R163" s="25"/>
    </row>
    <row r="164" spans="1:18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30"/>
      <c r="O164" s="30"/>
      <c r="P164" s="30"/>
      <c r="Q164" s="26"/>
      <c r="R164" s="25"/>
    </row>
    <row r="165" spans="1:18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30"/>
      <c r="O165" s="30"/>
      <c r="P165" s="30"/>
      <c r="Q165" s="26"/>
      <c r="R165" s="25"/>
    </row>
    <row r="166" spans="1:18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30"/>
      <c r="O166" s="30"/>
      <c r="P166" s="30"/>
      <c r="Q166" s="26"/>
      <c r="R166" s="25"/>
    </row>
    <row r="167" spans="1:18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30"/>
      <c r="O167" s="30"/>
      <c r="P167" s="30"/>
      <c r="Q167" s="26"/>
      <c r="R167" s="25"/>
    </row>
    <row r="168" spans="1:18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30"/>
      <c r="O168" s="30"/>
      <c r="P168" s="30"/>
      <c r="Q168" s="26"/>
      <c r="R168" s="25"/>
    </row>
    <row r="169" spans="1:18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30"/>
      <c r="O169" s="30"/>
      <c r="P169" s="30"/>
      <c r="Q169" s="26"/>
      <c r="R169" s="25"/>
    </row>
    <row r="170" spans="1:18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30"/>
      <c r="O170" s="30"/>
      <c r="P170" s="30"/>
      <c r="Q170" s="26"/>
      <c r="R170" s="25"/>
    </row>
    <row r="171" spans="1:18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30"/>
      <c r="O171" s="30"/>
      <c r="P171" s="30"/>
      <c r="Q171" s="26"/>
      <c r="R171" s="25"/>
    </row>
    <row r="172" spans="1:18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30"/>
      <c r="O172" s="30"/>
      <c r="P172" s="30"/>
      <c r="Q172" s="26"/>
      <c r="R172" s="25"/>
    </row>
    <row r="173" spans="1:18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30"/>
      <c r="O173" s="30"/>
      <c r="P173" s="30"/>
      <c r="Q173" s="26"/>
      <c r="R173" s="25"/>
    </row>
    <row r="174" spans="1:18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30"/>
      <c r="O174" s="30"/>
      <c r="P174" s="30"/>
      <c r="Q174" s="26"/>
      <c r="R174" s="25"/>
    </row>
    <row r="175" spans="1:18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30"/>
      <c r="O175" s="30"/>
      <c r="P175" s="30"/>
      <c r="Q175" s="26"/>
      <c r="R175" s="25"/>
    </row>
    <row r="176" spans="1:18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30"/>
      <c r="O176" s="30"/>
      <c r="P176" s="30"/>
      <c r="Q176" s="26"/>
      <c r="R176" s="25"/>
    </row>
    <row r="177" spans="1:18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30"/>
      <c r="O177" s="30"/>
      <c r="P177" s="30"/>
      <c r="Q177" s="26"/>
      <c r="R177" s="25"/>
    </row>
    <row r="178" spans="1:18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30"/>
      <c r="O178" s="30"/>
      <c r="P178" s="30"/>
      <c r="Q178" s="26"/>
      <c r="R178" s="25"/>
    </row>
    <row r="179" spans="1:18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30"/>
      <c r="O179" s="30"/>
      <c r="P179" s="30"/>
      <c r="Q179" s="26"/>
      <c r="R179" s="25"/>
    </row>
    <row r="180" spans="1:18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30"/>
      <c r="O180" s="30"/>
      <c r="P180" s="30"/>
      <c r="Q180" s="26"/>
      <c r="R180" s="25"/>
    </row>
    <row r="181" spans="1:18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30"/>
      <c r="O181" s="30"/>
      <c r="P181" s="30"/>
      <c r="Q181" s="26"/>
      <c r="R181" s="25"/>
    </row>
    <row r="182" spans="1:18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30"/>
      <c r="O182" s="30"/>
      <c r="P182" s="30"/>
      <c r="Q182" s="26"/>
      <c r="R182" s="25"/>
    </row>
    <row r="183" spans="1:18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30"/>
      <c r="O183" s="30"/>
      <c r="P183" s="30"/>
      <c r="Q183" s="26"/>
      <c r="R183" s="25"/>
    </row>
    <row r="184" spans="1:18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30"/>
      <c r="O184" s="30"/>
      <c r="P184" s="30"/>
      <c r="Q184" s="26"/>
      <c r="R184" s="25"/>
    </row>
    <row r="185" spans="1:18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30"/>
      <c r="O185" s="30"/>
      <c r="P185" s="30"/>
      <c r="Q185" s="26"/>
      <c r="R185" s="25"/>
    </row>
    <row r="186" spans="1:18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30"/>
      <c r="O186" s="30"/>
      <c r="P186" s="30"/>
      <c r="Q186" s="26"/>
      <c r="R186" s="25"/>
    </row>
    <row r="187" spans="1:18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30"/>
      <c r="O187" s="30"/>
      <c r="P187" s="30"/>
      <c r="Q187" s="26"/>
      <c r="R187" s="25"/>
    </row>
    <row r="188" spans="1:18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30"/>
      <c r="O188" s="30"/>
      <c r="P188" s="30"/>
      <c r="Q188" s="26"/>
      <c r="R188" s="25"/>
    </row>
    <row r="189" spans="1:18" ht="13.5" thickBo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30"/>
      <c r="O189" s="30"/>
      <c r="P189" s="30"/>
      <c r="Q189" s="26"/>
      <c r="R189" s="25"/>
    </row>
    <row r="190" spans="1:18" ht="13.5" thickTop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33" t="s">
        <v>186</v>
      </c>
      <c r="N190" s="34"/>
      <c r="O190" s="34"/>
      <c r="P190" s="34"/>
      <c r="Q190" s="35"/>
      <c r="R190" s="25"/>
    </row>
    <row r="191" spans="1:18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36"/>
      <c r="N191" s="37"/>
      <c r="O191" s="37"/>
      <c r="P191" s="37"/>
      <c r="Q191" s="38"/>
      <c r="R191" s="25"/>
    </row>
    <row r="192" spans="1:18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36">
        <v>1</v>
      </c>
      <c r="N192" s="37" t="s">
        <v>187</v>
      </c>
      <c r="O192" s="37">
        <f>IF(ISNA(MATCH(PROPER(LEFT(E8,3)),Q192:Q203,0)),1,MATCH(PROPER(LEFT(E8,3)),Q192:Q203,0))</f>
        <v>1</v>
      </c>
      <c r="P192" s="37"/>
      <c r="Q192" s="38" t="s">
        <v>187</v>
      </c>
      <c r="R192" s="25"/>
    </row>
    <row r="193" spans="1:18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36">
        <v>2</v>
      </c>
      <c r="N193" s="37" t="s">
        <v>188</v>
      </c>
      <c r="O193" s="37">
        <f aca="true" t="shared" si="12" ref="O193:O203">IF(O192=12,1,O192+1)</f>
        <v>2</v>
      </c>
      <c r="P193" s="37"/>
      <c r="Q193" s="38" t="s">
        <v>188</v>
      </c>
      <c r="R193" s="25"/>
    </row>
    <row r="194" spans="1:18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36">
        <v>3</v>
      </c>
      <c r="N194" s="37" t="s">
        <v>189</v>
      </c>
      <c r="O194" s="37">
        <f t="shared" si="12"/>
        <v>3</v>
      </c>
      <c r="P194" s="37"/>
      <c r="Q194" s="38" t="s">
        <v>189</v>
      </c>
      <c r="R194" s="25"/>
    </row>
    <row r="195" spans="1:18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36">
        <v>4</v>
      </c>
      <c r="N195" s="37" t="s">
        <v>190</v>
      </c>
      <c r="O195" s="37">
        <f t="shared" si="12"/>
        <v>4</v>
      </c>
      <c r="P195" s="37"/>
      <c r="Q195" s="38" t="s">
        <v>190</v>
      </c>
      <c r="R195" s="25"/>
    </row>
    <row r="196" spans="1:18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36">
        <v>5</v>
      </c>
      <c r="N196" s="37" t="s">
        <v>191</v>
      </c>
      <c r="O196" s="37">
        <f t="shared" si="12"/>
        <v>5</v>
      </c>
      <c r="P196" s="37"/>
      <c r="Q196" s="38" t="s">
        <v>191</v>
      </c>
      <c r="R196" s="25"/>
    </row>
    <row r="197" spans="1:18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36">
        <v>6</v>
      </c>
      <c r="N197" s="37" t="s">
        <v>192</v>
      </c>
      <c r="O197" s="37">
        <f t="shared" si="12"/>
        <v>6</v>
      </c>
      <c r="P197" s="37"/>
      <c r="Q197" s="38" t="s">
        <v>192</v>
      </c>
      <c r="R197" s="25"/>
    </row>
    <row r="198" spans="1:18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36">
        <v>7</v>
      </c>
      <c r="N198" s="37" t="s">
        <v>193</v>
      </c>
      <c r="O198" s="37">
        <f t="shared" si="12"/>
        <v>7</v>
      </c>
      <c r="P198" s="37"/>
      <c r="Q198" s="38" t="s">
        <v>193</v>
      </c>
      <c r="R198" s="25"/>
    </row>
    <row r="199" spans="1:18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36">
        <v>8</v>
      </c>
      <c r="N199" s="37" t="s">
        <v>194</v>
      </c>
      <c r="O199" s="37">
        <f t="shared" si="12"/>
        <v>8</v>
      </c>
      <c r="P199" s="37"/>
      <c r="Q199" s="38" t="s">
        <v>194</v>
      </c>
      <c r="R199" s="25"/>
    </row>
    <row r="200" spans="1:18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36">
        <v>9</v>
      </c>
      <c r="N200" s="37" t="s">
        <v>195</v>
      </c>
      <c r="O200" s="37">
        <f t="shared" si="12"/>
        <v>9</v>
      </c>
      <c r="P200" s="37"/>
      <c r="Q200" s="38" t="s">
        <v>195</v>
      </c>
      <c r="R200" s="25"/>
    </row>
    <row r="201" spans="1:18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36">
        <v>10</v>
      </c>
      <c r="N201" s="37" t="s">
        <v>196</v>
      </c>
      <c r="O201" s="37">
        <f t="shared" si="12"/>
        <v>10</v>
      </c>
      <c r="P201" s="37"/>
      <c r="Q201" s="38" t="s">
        <v>196</v>
      </c>
      <c r="R201" s="25"/>
    </row>
    <row r="202" spans="1:18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36">
        <v>11</v>
      </c>
      <c r="N202" s="37" t="s">
        <v>197</v>
      </c>
      <c r="O202" s="37">
        <f t="shared" si="12"/>
        <v>11</v>
      </c>
      <c r="P202" s="37"/>
      <c r="Q202" s="38" t="s">
        <v>197</v>
      </c>
      <c r="R202" s="25"/>
    </row>
    <row r="203" spans="1:18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36">
        <v>12</v>
      </c>
      <c r="N203" s="37" t="s">
        <v>198</v>
      </c>
      <c r="O203" s="37">
        <f t="shared" si="12"/>
        <v>12</v>
      </c>
      <c r="P203" s="37"/>
      <c r="Q203" s="38" t="s">
        <v>198</v>
      </c>
      <c r="R203" s="25"/>
    </row>
    <row r="204" spans="1:18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36"/>
      <c r="N204" s="37"/>
      <c r="O204" s="37"/>
      <c r="P204" s="37"/>
      <c r="Q204" s="38"/>
      <c r="R204" s="25"/>
    </row>
    <row r="205" spans="1:18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39">
        <f>IF(C12="Jan",24,MATCH("Jan",C12:C23,0)+11)</f>
        <v>24</v>
      </c>
      <c r="N205" s="37">
        <f>Q208-M205</f>
        <v>36</v>
      </c>
      <c r="O205" s="37"/>
      <c r="P205" s="37"/>
      <c r="Q205" s="38"/>
      <c r="R205" s="25"/>
    </row>
    <row r="206" spans="1:18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36">
        <f>MIN(Q$208,M205+12)</f>
        <v>36</v>
      </c>
      <c r="N206" s="37">
        <f>Q208-M206</f>
        <v>24</v>
      </c>
      <c r="O206" s="37"/>
      <c r="P206" s="37"/>
      <c r="Q206" s="38"/>
      <c r="R206" s="25"/>
    </row>
    <row r="207" spans="1:18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36">
        <f aca="true" t="shared" si="13" ref="M207:M234">MIN(Q$208,M206+12)</f>
        <v>48</v>
      </c>
      <c r="N207" s="37">
        <f>Q208-M207</f>
        <v>12</v>
      </c>
      <c r="O207" s="37"/>
      <c r="P207" s="37"/>
      <c r="Q207" s="38"/>
      <c r="R207" s="25"/>
    </row>
    <row r="208" spans="1:18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36">
        <f t="shared" si="13"/>
        <v>60</v>
      </c>
      <c r="N208" s="37">
        <f>Q208-M208</f>
        <v>0</v>
      </c>
      <c r="O208" s="37"/>
      <c r="P208" s="37" t="s">
        <v>199</v>
      </c>
      <c r="Q208" s="38">
        <f>E6*12</f>
        <v>60</v>
      </c>
      <c r="R208" s="25"/>
    </row>
    <row r="209" spans="1:18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36">
        <f t="shared" si="13"/>
        <v>60</v>
      </c>
      <c r="N209" s="37">
        <f>Q208-M209</f>
        <v>0</v>
      </c>
      <c r="O209" s="37"/>
      <c r="P209" s="37" t="s">
        <v>200</v>
      </c>
      <c r="Q209" s="40">
        <f>E7</f>
        <v>2009</v>
      </c>
      <c r="R209" s="25"/>
    </row>
    <row r="210" spans="1:18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36">
        <f t="shared" si="13"/>
        <v>60</v>
      </c>
      <c r="N210" s="37">
        <f>Q208-M210</f>
        <v>0</v>
      </c>
      <c r="O210" s="37"/>
      <c r="P210" s="37" t="s">
        <v>201</v>
      </c>
      <c r="Q210" s="38">
        <f>Q208/12</f>
        <v>5</v>
      </c>
      <c r="R210" s="25"/>
    </row>
    <row r="211" spans="1:18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36">
        <f t="shared" si="13"/>
        <v>60</v>
      </c>
      <c r="N211" s="37">
        <f>Q208-M211</f>
        <v>0</v>
      </c>
      <c r="O211" s="37"/>
      <c r="P211" s="37" t="s">
        <v>202</v>
      </c>
      <c r="Q211" s="40">
        <f>IF(E7,Q210+Q209-IF(PROPER(LEFT(C12,3))="Jan",1,0),"")</f>
        <v>2013</v>
      </c>
      <c r="R211" s="25"/>
    </row>
    <row r="212" spans="1:18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36">
        <f t="shared" si="13"/>
        <v>60</v>
      </c>
      <c r="N212" s="37">
        <f>Q208-M212</f>
        <v>0</v>
      </c>
      <c r="O212" s="37"/>
      <c r="P212" s="37" t="s">
        <v>203</v>
      </c>
      <c r="Q212" s="38">
        <f>O203</f>
        <v>12</v>
      </c>
      <c r="R212" s="25"/>
    </row>
    <row r="213" spans="1:18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36">
        <f t="shared" si="13"/>
        <v>60</v>
      </c>
      <c r="N213" s="37">
        <f>Q208-M213</f>
        <v>0</v>
      </c>
      <c r="O213" s="37"/>
      <c r="P213" s="37"/>
      <c r="Q213" s="38"/>
      <c r="R213" s="25"/>
    </row>
    <row r="214" spans="1:18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36">
        <f t="shared" si="13"/>
        <v>60</v>
      </c>
      <c r="N214" s="37">
        <f>Q208-M214</f>
        <v>0</v>
      </c>
      <c r="O214" s="37"/>
      <c r="P214" s="37"/>
      <c r="Q214" s="38"/>
      <c r="R214" s="25"/>
    </row>
    <row r="215" spans="1:18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36">
        <f t="shared" si="13"/>
        <v>60</v>
      </c>
      <c r="N215" s="37">
        <f>Q208-M215</f>
        <v>0</v>
      </c>
      <c r="O215" s="37"/>
      <c r="P215" s="37"/>
      <c r="Q215" s="38"/>
      <c r="R215" s="25"/>
    </row>
    <row r="216" spans="1:18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36">
        <f t="shared" si="13"/>
        <v>60</v>
      </c>
      <c r="N216" s="37">
        <f>Q208-M216</f>
        <v>0</v>
      </c>
      <c r="O216" s="37"/>
      <c r="P216" s="37"/>
      <c r="Q216" s="38"/>
      <c r="R216" s="25"/>
    </row>
    <row r="217" spans="1:18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36">
        <f t="shared" si="13"/>
        <v>60</v>
      </c>
      <c r="N217" s="37">
        <f>Q208-M217</f>
        <v>0</v>
      </c>
      <c r="O217" s="37"/>
      <c r="P217" s="37"/>
      <c r="Q217" s="38"/>
      <c r="R217" s="25"/>
    </row>
    <row r="218" spans="1:18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36">
        <f t="shared" si="13"/>
        <v>60</v>
      </c>
      <c r="N218" s="37">
        <f>Q208-M218</f>
        <v>0</v>
      </c>
      <c r="O218" s="37"/>
      <c r="P218" s="37"/>
      <c r="Q218" s="38"/>
      <c r="R218" s="25"/>
    </row>
    <row r="219" spans="1:18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36">
        <f t="shared" si="13"/>
        <v>60</v>
      </c>
      <c r="N219" s="37">
        <f>Q208-M219</f>
        <v>0</v>
      </c>
      <c r="O219" s="37"/>
      <c r="P219" s="37"/>
      <c r="Q219" s="38"/>
      <c r="R219" s="25"/>
    </row>
    <row r="220" spans="1:18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36">
        <f t="shared" si="13"/>
        <v>60</v>
      </c>
      <c r="N220" s="37">
        <f>Q208-M220</f>
        <v>0</v>
      </c>
      <c r="O220" s="37"/>
      <c r="P220" s="37"/>
      <c r="Q220" s="38"/>
      <c r="R220" s="25"/>
    </row>
    <row r="221" spans="1:18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36">
        <f t="shared" si="13"/>
        <v>60</v>
      </c>
      <c r="N221" s="37">
        <f>Q208-M221</f>
        <v>0</v>
      </c>
      <c r="O221" s="37"/>
      <c r="P221" s="37"/>
      <c r="Q221" s="38"/>
      <c r="R221" s="25"/>
    </row>
    <row r="222" spans="1:18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36">
        <f t="shared" si="13"/>
        <v>60</v>
      </c>
      <c r="N222" s="37">
        <f>Q208-M222</f>
        <v>0</v>
      </c>
      <c r="O222" s="37"/>
      <c r="P222" s="37"/>
      <c r="Q222" s="38"/>
      <c r="R222" s="25"/>
    </row>
    <row r="223" spans="1:18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36">
        <f t="shared" si="13"/>
        <v>60</v>
      </c>
      <c r="N223" s="37">
        <f>Q208-M223</f>
        <v>0</v>
      </c>
      <c r="O223" s="37"/>
      <c r="P223" s="37"/>
      <c r="Q223" s="38"/>
      <c r="R223" s="25"/>
    </row>
    <row r="224" spans="1:18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36">
        <f t="shared" si="13"/>
        <v>60</v>
      </c>
      <c r="N224" s="37">
        <f>Q208-M224</f>
        <v>0</v>
      </c>
      <c r="O224" s="37"/>
      <c r="P224" s="37"/>
      <c r="Q224" s="38"/>
      <c r="R224" s="25"/>
    </row>
    <row r="225" spans="1:18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36">
        <f t="shared" si="13"/>
        <v>60</v>
      </c>
      <c r="N225" s="37">
        <f>Q208-M225</f>
        <v>0</v>
      </c>
      <c r="O225" s="37"/>
      <c r="P225" s="37"/>
      <c r="Q225" s="38"/>
      <c r="R225" s="25"/>
    </row>
    <row r="226" spans="1:18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36">
        <f t="shared" si="13"/>
        <v>60</v>
      </c>
      <c r="N226" s="37">
        <f>Q208-M226</f>
        <v>0</v>
      </c>
      <c r="O226" s="37"/>
      <c r="P226" s="37"/>
      <c r="Q226" s="38"/>
      <c r="R226" s="25"/>
    </row>
    <row r="227" spans="1:18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36">
        <f t="shared" si="13"/>
        <v>60</v>
      </c>
      <c r="N227" s="37">
        <f>Q208-M227</f>
        <v>0</v>
      </c>
      <c r="O227" s="37"/>
      <c r="P227" s="37"/>
      <c r="Q227" s="38"/>
      <c r="R227" s="25"/>
    </row>
    <row r="228" spans="1:18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36">
        <f t="shared" si="13"/>
        <v>60</v>
      </c>
      <c r="N228" s="37">
        <f>Q208-M228</f>
        <v>0</v>
      </c>
      <c r="O228" s="37"/>
      <c r="P228" s="37"/>
      <c r="Q228" s="38"/>
      <c r="R228" s="25"/>
    </row>
    <row r="229" spans="1:18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36">
        <f t="shared" si="13"/>
        <v>60</v>
      </c>
      <c r="N229" s="37">
        <f>Q208-M229</f>
        <v>0</v>
      </c>
      <c r="O229" s="37"/>
      <c r="P229" s="37"/>
      <c r="Q229" s="38"/>
      <c r="R229" s="25"/>
    </row>
    <row r="230" spans="1:18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36">
        <f t="shared" si="13"/>
        <v>60</v>
      </c>
      <c r="N230" s="37">
        <f>Q208-M230</f>
        <v>0</v>
      </c>
      <c r="O230" s="37"/>
      <c r="P230" s="37"/>
      <c r="Q230" s="38"/>
      <c r="R230" s="25"/>
    </row>
    <row r="231" spans="1:18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36">
        <f t="shared" si="13"/>
        <v>60</v>
      </c>
      <c r="N231" s="37">
        <f>Q208-M231</f>
        <v>0</v>
      </c>
      <c r="O231" s="37"/>
      <c r="P231" s="37"/>
      <c r="Q231" s="38"/>
      <c r="R231" s="25"/>
    </row>
    <row r="232" spans="1:18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36">
        <f t="shared" si="13"/>
        <v>60</v>
      </c>
      <c r="N232" s="37">
        <f>Q208-M232</f>
        <v>0</v>
      </c>
      <c r="O232" s="37"/>
      <c r="P232" s="37"/>
      <c r="Q232" s="38"/>
      <c r="R232" s="25"/>
    </row>
    <row r="233" spans="1:18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36">
        <f t="shared" si="13"/>
        <v>60</v>
      </c>
      <c r="N233" s="37">
        <f>Q208-M233</f>
        <v>0</v>
      </c>
      <c r="O233" s="37"/>
      <c r="P233" s="37"/>
      <c r="Q233" s="38"/>
      <c r="R233" s="25"/>
    </row>
    <row r="234" spans="1:18" ht="13.5" thickBo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41">
        <f t="shared" si="13"/>
        <v>60</v>
      </c>
      <c r="N234" s="42">
        <f>Q208-M234</f>
        <v>0</v>
      </c>
      <c r="O234" s="42"/>
      <c r="P234" s="42"/>
      <c r="Q234" s="43"/>
      <c r="R234" s="25"/>
    </row>
    <row r="235" spans="1:18" ht="12.75" thickTop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</row>
  </sheetData>
  <sheetProtection/>
  <mergeCells count="14">
    <mergeCell ref="B10:J10"/>
    <mergeCell ref="B25:I25"/>
    <mergeCell ref="B6:D6"/>
    <mergeCell ref="G6:I6"/>
    <mergeCell ref="B7:D7"/>
    <mergeCell ref="G7:I7"/>
    <mergeCell ref="B8:D8"/>
    <mergeCell ref="G8:I8"/>
    <mergeCell ref="B5:D5"/>
    <mergeCell ref="G5:I5"/>
    <mergeCell ref="B3:E3"/>
    <mergeCell ref="G3:J3"/>
    <mergeCell ref="B4:D4"/>
    <mergeCell ref="G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McLary</dc:creator>
  <cp:keywords/>
  <dc:description/>
  <cp:lastModifiedBy>Danielle Pinkus</cp:lastModifiedBy>
  <cp:lastPrinted>2010-03-01T17:30:29Z</cp:lastPrinted>
  <dcterms:created xsi:type="dcterms:W3CDTF">2010-01-18T14:26:58Z</dcterms:created>
  <dcterms:modified xsi:type="dcterms:W3CDTF">2010-03-01T17:30:30Z</dcterms:modified>
  <cp:category/>
  <cp:version/>
  <cp:contentType/>
  <cp:contentStatus/>
</cp:coreProperties>
</file>